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135" windowWidth="22845" windowHeight="9360"/>
  </bookViews>
  <sheets>
    <sheet name="Kontrolberegning 2015" sheetId="1" r:id="rId1"/>
    <sheet name="øvrige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P6" i="2" l="1"/>
  <c r="P7" i="2"/>
  <c r="P8" i="2"/>
  <c r="P9" i="2"/>
  <c r="P10" i="2"/>
  <c r="P11" i="2"/>
  <c r="P5" i="2"/>
  <c r="P21" i="1"/>
  <c r="P22" i="1"/>
  <c r="P23" i="1"/>
  <c r="P24" i="1"/>
  <c r="P25" i="1"/>
  <c r="P26" i="1"/>
  <c r="P20" i="1"/>
  <c r="N21" i="1"/>
  <c r="N22" i="1"/>
  <c r="N23" i="1"/>
  <c r="N24" i="1"/>
  <c r="N25" i="1"/>
  <c r="N26" i="1"/>
  <c r="N20" i="1"/>
  <c r="C19" i="1"/>
  <c r="D19" i="1"/>
  <c r="E19" i="1"/>
  <c r="F19" i="1"/>
  <c r="G19" i="1"/>
  <c r="H19" i="1"/>
  <c r="I19" i="1"/>
  <c r="J19" i="1"/>
  <c r="K19" i="1"/>
  <c r="L19" i="1"/>
  <c r="M19" i="1"/>
  <c r="B19" i="1"/>
  <c r="N19" i="1" l="1"/>
  <c r="P19" i="1"/>
  <c r="S20" i="1"/>
  <c r="T20" i="1" s="1"/>
  <c r="S24" i="1" l="1"/>
  <c r="T24" i="1" s="1"/>
  <c r="S23" i="1"/>
  <c r="T23" i="1" s="1"/>
  <c r="S25" i="1"/>
  <c r="T25" i="1" s="1"/>
  <c r="S26" i="1"/>
  <c r="T26" i="1" s="1"/>
  <c r="S22" i="1"/>
  <c r="T22" i="1" s="1"/>
  <c r="S21" i="1"/>
  <c r="T21" i="1" s="1"/>
  <c r="Q11" i="2"/>
  <c r="Q10" i="2"/>
  <c r="Q9" i="2"/>
  <c r="Q7" i="2"/>
  <c r="R5" i="2"/>
  <c r="R11" i="2" s="1"/>
  <c r="Q5" i="2"/>
  <c r="Q8" i="2" s="1"/>
  <c r="T19" i="1" l="1"/>
  <c r="R6" i="2"/>
  <c r="R8" i="2"/>
  <c r="S5" i="2"/>
  <c r="R9" i="2"/>
  <c r="R10" i="2"/>
  <c r="Q6" i="2"/>
  <c r="R7" i="2"/>
  <c r="S10" i="2" l="1"/>
  <c r="T10" i="2" s="1"/>
  <c r="S9" i="2"/>
  <c r="T9" i="2" s="1"/>
  <c r="T5" i="2"/>
  <c r="S8" i="2"/>
  <c r="T8" i="2" s="1"/>
  <c r="S11" i="2"/>
  <c r="T11" i="2" s="1"/>
  <c r="S6" i="2"/>
  <c r="T6" i="2" s="1"/>
  <c r="S7" i="2"/>
  <c r="T7" i="2" s="1"/>
  <c r="T13" i="2" l="1"/>
  <c r="S10" i="1"/>
  <c r="S11" i="1"/>
  <c r="S12" i="1"/>
  <c r="S6" i="1"/>
  <c r="S7" i="1"/>
  <c r="S8" i="1"/>
  <c r="S9" i="1"/>
  <c r="S5" i="1"/>
  <c r="P13" i="1"/>
  <c r="D13" i="1"/>
  <c r="N13" i="1" s="1"/>
  <c r="L12" i="1"/>
  <c r="K12" i="1"/>
  <c r="J12" i="1"/>
  <c r="I12" i="1"/>
  <c r="H12" i="1"/>
  <c r="G12" i="1"/>
  <c r="F12" i="1"/>
  <c r="E12" i="1"/>
  <c r="D12" i="1"/>
  <c r="C12" i="1"/>
  <c r="B12" i="1"/>
  <c r="L11" i="1"/>
  <c r="K11" i="1"/>
  <c r="J11" i="1"/>
  <c r="I11" i="1"/>
  <c r="H11" i="1"/>
  <c r="G11" i="1"/>
  <c r="F11" i="1"/>
  <c r="E11" i="1"/>
  <c r="D11" i="1"/>
  <c r="C11" i="1"/>
  <c r="B11" i="1"/>
  <c r="L10" i="1"/>
  <c r="K10" i="1"/>
  <c r="J10" i="1"/>
  <c r="I10" i="1"/>
  <c r="H10" i="1"/>
  <c r="G10" i="1"/>
  <c r="F10" i="1"/>
  <c r="E10" i="1"/>
  <c r="D10" i="1"/>
  <c r="C10" i="1"/>
  <c r="B10" i="1"/>
  <c r="L9" i="1"/>
  <c r="K9" i="1"/>
  <c r="J9" i="1"/>
  <c r="I9" i="1"/>
  <c r="H9" i="1"/>
  <c r="G9" i="1"/>
  <c r="F9" i="1"/>
  <c r="E9" i="1"/>
  <c r="D9" i="1"/>
  <c r="C9" i="1"/>
  <c r="B9" i="1"/>
  <c r="L8" i="1"/>
  <c r="K8" i="1"/>
  <c r="J8" i="1"/>
  <c r="I8" i="1"/>
  <c r="H8" i="1"/>
  <c r="G8" i="1"/>
  <c r="F8" i="1"/>
  <c r="E8" i="1"/>
  <c r="D8" i="1"/>
  <c r="C8" i="1"/>
  <c r="B8" i="1"/>
  <c r="L7" i="1"/>
  <c r="K7" i="1"/>
  <c r="J7" i="1"/>
  <c r="I7" i="1"/>
  <c r="H7" i="1"/>
  <c r="G7" i="1"/>
  <c r="F7" i="1"/>
  <c r="E7" i="1"/>
  <c r="D7" i="1"/>
  <c r="C7" i="1"/>
  <c r="B7" i="1"/>
  <c r="L6" i="1"/>
  <c r="K6" i="1"/>
  <c r="J6" i="1"/>
  <c r="I6" i="1"/>
  <c r="H6" i="1"/>
  <c r="G6" i="1"/>
  <c r="F6" i="1"/>
  <c r="E6" i="1"/>
  <c r="D6" i="1"/>
  <c r="C6" i="1"/>
  <c r="B6" i="1"/>
  <c r="L5" i="1"/>
  <c r="K5" i="1"/>
  <c r="J5" i="1"/>
  <c r="I5" i="1"/>
  <c r="H5" i="1"/>
  <c r="G5" i="1"/>
  <c r="F5" i="1"/>
  <c r="E5" i="1"/>
  <c r="D5" i="1"/>
  <c r="C5" i="1"/>
  <c r="B5" i="1"/>
  <c r="M4" i="1"/>
  <c r="P5" i="1" l="1"/>
  <c r="P8" i="1"/>
  <c r="T8" i="1" s="1"/>
  <c r="P12" i="1"/>
  <c r="T12" i="1" s="1"/>
  <c r="B4" i="1"/>
  <c r="T5" i="1"/>
  <c r="P7" i="1"/>
  <c r="T7" i="1" s="1"/>
  <c r="P11" i="1"/>
  <c r="T11" i="1" s="1"/>
  <c r="P6" i="1"/>
  <c r="T6" i="1" s="1"/>
  <c r="L4" i="1"/>
  <c r="P10" i="1"/>
  <c r="T10" i="1" s="1"/>
  <c r="P9" i="1"/>
  <c r="T9" i="1" s="1"/>
  <c r="D4" i="1"/>
  <c r="E4" i="1"/>
  <c r="I4" i="1"/>
  <c r="N10" i="1"/>
  <c r="N5" i="1"/>
  <c r="F4" i="1"/>
  <c r="J4" i="1"/>
  <c r="N7" i="1"/>
  <c r="N9" i="1"/>
  <c r="N11" i="1"/>
  <c r="H4" i="1"/>
  <c r="C4" i="1"/>
  <c r="G4" i="1"/>
  <c r="K4" i="1"/>
  <c r="N8" i="1"/>
  <c r="N12" i="1"/>
  <c r="N6" i="1"/>
  <c r="P4" i="1" l="1"/>
  <c r="T4" i="1"/>
  <c r="N4" i="1"/>
</calcChain>
</file>

<file path=xl/comments1.xml><?xml version="1.0" encoding="utf-8"?>
<comments xmlns="http://schemas.openxmlformats.org/spreadsheetml/2006/main">
  <authors>
    <author>Varde Kommune</author>
    <author>Henrik Bramsen Jensen</author>
  </authors>
  <commentList>
    <comment ref="B4" authorId="0">
      <text>
        <r>
          <rPr>
            <b/>
            <sz val="8"/>
            <color indexed="81"/>
            <rFont val="Tahoma"/>
            <family val="2"/>
          </rPr>
          <t>Uge 2-5</t>
        </r>
      </text>
    </comment>
    <comment ref="C4" authorId="0">
      <text>
        <r>
          <rPr>
            <b/>
            <sz val="8"/>
            <color indexed="81"/>
            <rFont val="Tahoma"/>
            <family val="2"/>
          </rPr>
          <t>Uge 6-9</t>
        </r>
      </text>
    </comment>
    <comment ref="D4" authorId="0">
      <text>
        <r>
          <rPr>
            <b/>
            <sz val="8"/>
            <color indexed="81"/>
            <rFont val="Tahoma"/>
            <family val="2"/>
          </rPr>
          <t>Uge 10-13</t>
        </r>
      </text>
    </comment>
    <comment ref="E4" authorId="0">
      <text>
        <r>
          <rPr>
            <b/>
            <sz val="8"/>
            <color indexed="81"/>
            <rFont val="Tahoma"/>
            <family val="2"/>
          </rPr>
          <t>Uge 14-17</t>
        </r>
      </text>
    </comment>
    <comment ref="F4" authorId="0">
      <text>
        <r>
          <rPr>
            <b/>
            <sz val="8"/>
            <color indexed="81"/>
            <rFont val="Tahoma"/>
            <family val="2"/>
          </rPr>
          <t>Uge 18-21</t>
        </r>
      </text>
    </comment>
    <comment ref="G4" authorId="0">
      <text>
        <r>
          <rPr>
            <b/>
            <sz val="8"/>
            <color indexed="81"/>
            <rFont val="Tahoma"/>
            <family val="2"/>
          </rPr>
          <t>Uge 22-27</t>
        </r>
      </text>
    </comment>
    <comment ref="H4" authorId="0">
      <text>
        <r>
          <rPr>
            <b/>
            <sz val="8"/>
            <color indexed="81"/>
            <rFont val="Tahoma"/>
            <family val="2"/>
          </rPr>
          <t>Uge 28-31</t>
        </r>
      </text>
    </comment>
    <comment ref="I4" authorId="0">
      <text>
        <r>
          <rPr>
            <b/>
            <sz val="8"/>
            <color indexed="81"/>
            <rFont val="Tahoma"/>
            <family val="2"/>
          </rPr>
          <t>Uge 32-35
Inkl. rettelser for uge 28-35</t>
        </r>
      </text>
    </comment>
    <comment ref="J4" authorId="0">
      <text>
        <r>
          <rPr>
            <b/>
            <sz val="8"/>
            <color indexed="81"/>
            <rFont val="Tahoma"/>
            <family val="2"/>
          </rPr>
          <t>Uge 36-39</t>
        </r>
      </text>
    </comment>
    <comment ref="K4" authorId="1">
      <text>
        <r>
          <rPr>
            <b/>
            <sz val="8"/>
            <color indexed="81"/>
            <rFont val="Tahoma"/>
            <family val="2"/>
          </rPr>
          <t>Uge 40-43</t>
        </r>
      </text>
    </comment>
    <comment ref="L4" authorId="1">
      <text>
        <r>
          <rPr>
            <b/>
            <sz val="8"/>
            <color indexed="81"/>
            <rFont val="Tahoma"/>
            <family val="2"/>
          </rPr>
          <t>Uge 44-48</t>
        </r>
      </text>
    </comment>
    <comment ref="M4" authorId="1">
      <text>
        <r>
          <rPr>
            <b/>
            <sz val="9"/>
            <color indexed="81"/>
            <rFont val="Tahoma"/>
            <family val="2"/>
          </rPr>
          <t>Uge 49-52</t>
        </r>
      </text>
    </comment>
  </commentList>
</comments>
</file>

<file path=xl/sharedStrings.xml><?xml version="1.0" encoding="utf-8"?>
<sst xmlns="http://schemas.openxmlformats.org/spreadsheetml/2006/main" count="91" uniqueCount="48">
  <si>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</si>
  <si>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</si>
  <si>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</si>
  <si>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</si>
  <si>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</si>
  <si>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</si>
  <si>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</si>
  <si>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</si>
  <si>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</si>
  <si>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</si>
  <si>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</si>
  <si>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</si>
  <si>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Blaabjerg Pleje- og Aktitvitetscenter - Total</t>
  </si>
  <si>
    <t>- Praktisk Dag</t>
  </si>
  <si>
    <t>- Personlig Dag</t>
  </si>
  <si>
    <t>- Personlig Weekend</t>
  </si>
  <si>
    <t>- Personlig Aften</t>
  </si>
  <si>
    <t>- Personlig Nat</t>
  </si>
  <si>
    <t>- Sygepleje Dag</t>
  </si>
  <si>
    <t>- Sygepleje Weekend</t>
  </si>
  <si>
    <t>- Sygepleje Aften</t>
  </si>
  <si>
    <t>- Sygepleje Nat</t>
  </si>
  <si>
    <t>Juli-Nov</t>
  </si>
  <si>
    <t>Diff. i takst</t>
  </si>
  <si>
    <t>Efter-         betaling</t>
  </si>
  <si>
    <t>Takst land</t>
  </si>
  <si>
    <t>Takst        by</t>
  </si>
  <si>
    <t>Taks 2015 gen.pris</t>
  </si>
  <si>
    <t>Takst 2015 kontrol-  beregning gen.pris</t>
  </si>
  <si>
    <t>Blåbjerg pleje- og aktivitetscenter</t>
  </si>
  <si>
    <t>Kontrol</t>
  </si>
  <si>
    <t>Renox Rengøring I/S</t>
  </si>
  <si>
    <t>Absolut Rent</t>
  </si>
  <si>
    <t>BT's Rengøring</t>
  </si>
  <si>
    <t>Vikarservice Hjemmeservice</t>
  </si>
  <si>
    <t>Ritas Rengøring</t>
  </si>
  <si>
    <t>ALFA Service Ren</t>
  </si>
  <si>
    <t>5 Stjernet Rengøring</t>
  </si>
  <si>
    <t>Takster Praktisk hjælp</t>
  </si>
  <si>
    <t>i alt</t>
  </si>
  <si>
    <t>Øvrige private leverandører foretager kun rengøring = PRAKTISK HJÆLP</t>
  </si>
  <si>
    <t>Jan-Dec</t>
  </si>
  <si>
    <t>Juli-Dec</t>
  </si>
  <si>
    <t>Antal timer praktisk hjælp</t>
  </si>
  <si>
    <t>Øvrige private leverandører</t>
  </si>
  <si>
    <t>Timer praktisk hjælp</t>
  </si>
  <si>
    <t>Total</t>
  </si>
  <si>
    <t xml:space="preserve">Efter-         betaling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</si>
</sst>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color indexed="81"/>
      <name val="Tahoma"/>
      <family val="2"/>
    </font>
    <font>
      <b/>
      <sz val="8"/>
      <color indexed="81"/>
      <name val="Tahoma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1" fillId="0" borderId="0"/>
    <xf numFmtId="0" fontId="11" fillId="3" borderId="2" applyNumberFormat="0" applyFont="0" applyAlignment="0" applyProtection="0"/>
  </cellStyleXfs>
  <cellXfs count="76">
    <xf numFmtId="0" fontId="0" fillId="0" borderId="0" xfId="0"/>
    <xf numFmtId="0" fontId="1" fillId="0" borderId="1" xfId="0" applyFont="1" applyBorder="1"/>
    <xf numFmtId="164" fontId="2" fillId="0" borderId="1" xfId="0" applyNumberFormat="1" applyFont="1" applyFill="1" applyBorder="1" applyAlignment="1">
      <alignment horizontal="center"/>
    </xf>
    <xf numFmtId="0" fontId="1" fillId="0" borderId="1" xfId="0" quotePrefix="1" applyFont="1" applyBorder="1"/>
    <xf numFmtId="164" fontId="1" fillId="0" borderId="1" xfId="0" applyNumberFormat="1" applyFont="1" applyFill="1" applyBorder="1" applyAlignment="1">
      <alignment horizontal="center"/>
    </xf>
    <xf numFmtId="0" fontId="1" fillId="0" borderId="1" xfId="0" quotePrefix="1" applyFont="1" applyFill="1" applyBorder="1"/>
    <xf numFmtId="164" fontId="4" fillId="0" borderId="1" xfId="0" applyNumberFormat="1" applyFont="1" applyFill="1" applyBorder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wrapText="1"/>
    </xf>
    <xf numFmtId="4" fontId="8" fillId="2" borderId="1" xfId="0" applyNumberFormat="1" applyFont="1" applyFill="1" applyBorder="1"/>
    <xf numFmtId="0" fontId="8" fillId="2" borderId="1" xfId="0" applyFont="1" applyFill="1" applyBorder="1" applyAlignment="1">
      <alignment horizontal="right"/>
    </xf>
    <xf numFmtId="4" fontId="8" fillId="2" borderId="1" xfId="0" applyNumberFormat="1" applyFont="1" applyFill="1" applyBorder="1" applyAlignment="1">
      <alignment horizontal="right"/>
    </xf>
    <xf numFmtId="0" fontId="7" fillId="0" borderId="1" xfId="0" quotePrefix="1" applyFont="1" applyBorder="1"/>
    <xf numFmtId="164" fontId="7" fillId="0" borderId="1" xfId="0" applyNumberFormat="1" applyFont="1" applyFill="1" applyBorder="1" applyAlignment="1">
      <alignment horizontal="center"/>
    </xf>
    <xf numFmtId="4" fontId="7" fillId="0" borderId="1" xfId="0" applyNumberFormat="1" applyFont="1" applyBorder="1"/>
    <xf numFmtId="4" fontId="7" fillId="0" borderId="1" xfId="0" applyNumberFormat="1" applyFont="1" applyBorder="1" applyAlignment="1">
      <alignment horizontal="right"/>
    </xf>
    <xf numFmtId="4" fontId="7" fillId="2" borderId="1" xfId="0" applyNumberFormat="1" applyFont="1" applyFill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7" fillId="0" borderId="1" xfId="0" quotePrefix="1" applyFont="1" applyFill="1" applyBorder="1"/>
    <xf numFmtId="4" fontId="7" fillId="0" borderId="0" xfId="0" applyNumberFormat="1" applyFont="1" applyBorder="1"/>
    <xf numFmtId="4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9" fillId="0" borderId="0" xfId="0" applyFont="1"/>
    <xf numFmtId="0" fontId="0" fillId="0" borderId="1" xfId="0" applyBorder="1"/>
    <xf numFmtId="164" fontId="2" fillId="0" borderId="5" xfId="0" applyNumberFormat="1" applyFont="1" applyFill="1" applyBorder="1" applyAlignment="1">
      <alignment horizontal="center"/>
    </xf>
    <xf numFmtId="4" fontId="0" fillId="0" borderId="0" xfId="0" applyNumberFormat="1"/>
    <xf numFmtId="4" fontId="10" fillId="0" borderId="1" xfId="0" applyNumberFormat="1" applyFont="1" applyBorder="1"/>
    <xf numFmtId="0" fontId="10" fillId="0" borderId="1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0" borderId="11" xfId="0" applyBorder="1"/>
    <xf numFmtId="0" fontId="1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7" fillId="4" borderId="0" xfId="0" applyFont="1" applyFill="1" applyBorder="1" applyAlignment="1">
      <alignment horizontal="right"/>
    </xf>
    <xf numFmtId="4" fontId="7" fillId="4" borderId="0" xfId="0" applyNumberFormat="1" applyFont="1" applyFill="1" applyBorder="1" applyAlignment="1">
      <alignment horizontal="right"/>
    </xf>
    <xf numFmtId="0" fontId="0" fillId="0" borderId="0" xfId="0" applyAlignment="1"/>
    <xf numFmtId="0" fontId="10" fillId="0" borderId="0" xfId="0" applyFont="1" applyAlignment="1"/>
    <xf numFmtId="164" fontId="0" fillId="0" borderId="9" xfId="0" applyNumberFormat="1" applyBorder="1"/>
    <xf numFmtId="0" fontId="8" fillId="4" borderId="0" xfId="0" applyFont="1" applyFill="1" applyBorder="1" applyAlignment="1">
      <alignment horizontal="right" vertical="center" wrapText="1"/>
    </xf>
    <xf numFmtId="0" fontId="8" fillId="4" borderId="0" xfId="0" applyFont="1" applyFill="1" applyBorder="1" applyAlignment="1">
      <alignment horizontal="right"/>
    </xf>
    <xf numFmtId="0" fontId="10" fillId="0" borderId="0" xfId="0" applyFont="1" applyAlignment="1">
      <alignment vertical="center"/>
    </xf>
    <xf numFmtId="0" fontId="8" fillId="2" borderId="1" xfId="0" applyFont="1" applyFill="1" applyBorder="1" applyAlignment="1">
      <alignment horizontal="right" vertical="center" wrapText="1"/>
    </xf>
    <xf numFmtId="164" fontId="2" fillId="0" borderId="12" xfId="0" applyNumberFormat="1" applyFont="1" applyFill="1" applyBorder="1" applyAlignment="1">
      <alignment horizontal="center"/>
    </xf>
    <xf numFmtId="4" fontId="8" fillId="2" borderId="1" xfId="0" applyNumberFormat="1" applyFont="1" applyFill="1" applyBorder="1" applyAlignment="1">
      <alignment horizontal="right" vertical="center" wrapText="1"/>
    </xf>
    <xf numFmtId="4" fontId="0" fillId="0" borderId="1" xfId="0" applyNumberFormat="1" applyBorder="1"/>
    <xf numFmtId="164" fontId="1" fillId="0" borderId="5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0" xfId="0" applyFont="1"/>
    <xf numFmtId="164" fontId="1" fillId="0" borderId="12" xfId="0" applyNumberFormat="1" applyFont="1" applyFill="1" applyBorder="1" applyAlignment="1">
      <alignment horizontal="center"/>
    </xf>
    <xf numFmtId="0" fontId="10" fillId="0" borderId="13" xfId="0" applyFont="1" applyBorder="1"/>
    <xf numFmtId="0" fontId="0" fillId="0" borderId="13" xfId="0" applyBorder="1"/>
    <xf numFmtId="0" fontId="0" fillId="0" borderId="14" xfId="0" applyBorder="1"/>
    <xf numFmtId="164" fontId="0" fillId="0" borderId="15" xfId="0" applyNumberFormat="1" applyBorder="1"/>
    <xf numFmtId="0" fontId="0" fillId="0" borderId="17" xfId="0" applyBorder="1"/>
    <xf numFmtId="0" fontId="0" fillId="0" borderId="16" xfId="0" applyBorder="1"/>
    <xf numFmtId="4" fontId="8" fillId="2" borderId="1" xfId="0" applyNumberFormat="1" applyFont="1" applyFill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/>
    </xf>
    <xf numFmtId="4" fontId="0" fillId="2" borderId="1" xfId="0" applyNumberFormat="1" applyFont="1" applyFill="1" applyBorder="1"/>
    <xf numFmtId="164" fontId="1" fillId="0" borderId="6" xfId="0" applyNumberFormat="1" applyFont="1" applyFill="1" applyBorder="1" applyAlignment="1">
      <alignment horizontal="center"/>
    </xf>
    <xf numFmtId="0" fontId="0" fillId="0" borderId="15" xfId="0" applyBorder="1"/>
    <xf numFmtId="164" fontId="8" fillId="2" borderId="1" xfId="0" applyNumberFormat="1" applyFont="1" applyFill="1" applyBorder="1"/>
    <xf numFmtId="4" fontId="7" fillId="2" borderId="14" xfId="0" applyNumberFormat="1" applyFont="1" applyFill="1" applyBorder="1"/>
    <xf numFmtId="4" fontId="7" fillId="2" borderId="1" xfId="0" applyNumberFormat="1" applyFont="1" applyFill="1" applyBorder="1"/>
    <xf numFmtId="0" fontId="0" fillId="0" borderId="0" xfId="0" applyBorder="1" applyAlignment="1">
      <alignment horizontal="center"/>
    </xf>
    <xf numFmtId="0" fontId="10" fillId="0" borderId="0" xfId="0" applyFont="1" applyAlignment="1"/>
    <xf numFmtId="0" fontId="0" fillId="0" borderId="3" xfId="0" applyBorder="1" applyAlignment="1">
      <alignment horizontal="center"/>
    </xf>
  </cellXfs>
  <cellStyles count="3">
    <cellStyle name="Bemærk! 2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49"/>
  <sheetViews>
    <sheetView tabSelected="1" workbookViewId="0">
      <selection activeCell="U17" sqref="U17"/>
    </sheetView>
  </sheetViews>
  <sheetFormatPr defaultRowHeight="12.75" x14ac:dyDescent="0.2"/>
  <cols>
    <col min="1" max="1" width="20.85546875" style="7" bestFit="1" customWidth="1"/>
    <col min="2" max="12" width="7.7109375" style="7" bestFit="1" customWidth="1"/>
    <col min="13" max="13" width="7.140625" style="7" customWidth="1"/>
    <col min="14" max="14" width="8.7109375" style="7" bestFit="1" customWidth="1"/>
    <col min="15" max="15" width="5.5703125" style="7" customWidth="1"/>
    <col min="16" max="16" width="8.85546875" style="7"/>
    <col min="17" max="17" width="8.85546875" style="9"/>
    <col min="18" max="18" width="9.7109375" style="9" customWidth="1"/>
    <col min="19" max="19" width="9.85546875" style="9" bestFit="1" customWidth="1"/>
    <col min="20" max="20" width="11.7109375" style="9" customWidth="1"/>
    <col min="21" max="21" width="10.28515625" style="9" customWidth="1"/>
    <col min="22" max="22" width="8.85546875" style="9"/>
    <col min="23" max="255" width="8.85546875" style="7"/>
    <col min="256" max="256" width="26.5703125" style="7" customWidth="1"/>
    <col min="257" max="260" width="8.85546875" style="7"/>
    <col min="261" max="262" width="10.140625" style="7" bestFit="1" customWidth="1"/>
    <col min="263" max="269" width="8.85546875" style="7"/>
    <col min="270" max="270" width="13.42578125" style="7" bestFit="1" customWidth="1"/>
    <col min="271" max="511" width="8.85546875" style="7"/>
    <col min="512" max="512" width="26.5703125" style="7" customWidth="1"/>
    <col min="513" max="516" width="8.85546875" style="7"/>
    <col min="517" max="518" width="10.140625" style="7" bestFit="1" customWidth="1"/>
    <col min="519" max="525" width="8.85546875" style="7"/>
    <col min="526" max="526" width="13.42578125" style="7" bestFit="1" customWidth="1"/>
    <col min="527" max="767" width="8.85546875" style="7"/>
    <col min="768" max="768" width="26.5703125" style="7" customWidth="1"/>
    <col min="769" max="772" width="8.85546875" style="7"/>
    <col min="773" max="774" width="10.140625" style="7" bestFit="1" customWidth="1"/>
    <col min="775" max="781" width="8.85546875" style="7"/>
    <col min="782" max="782" width="13.42578125" style="7" bestFit="1" customWidth="1"/>
    <col min="783" max="1023" width="8.85546875" style="7"/>
    <col min="1024" max="1024" width="26.5703125" style="7" customWidth="1"/>
    <col min="1025" max="1028" width="8.85546875" style="7"/>
    <col min="1029" max="1030" width="10.140625" style="7" bestFit="1" customWidth="1"/>
    <col min="1031" max="1037" width="8.85546875" style="7"/>
    <col min="1038" max="1038" width="13.42578125" style="7" bestFit="1" customWidth="1"/>
    <col min="1039" max="1279" width="8.85546875" style="7"/>
    <col min="1280" max="1280" width="26.5703125" style="7" customWidth="1"/>
    <col min="1281" max="1284" width="8.85546875" style="7"/>
    <col min="1285" max="1286" width="10.140625" style="7" bestFit="1" customWidth="1"/>
    <col min="1287" max="1293" width="8.85546875" style="7"/>
    <col min="1294" max="1294" width="13.42578125" style="7" bestFit="1" customWidth="1"/>
    <col min="1295" max="1535" width="8.85546875" style="7"/>
    <col min="1536" max="1536" width="26.5703125" style="7" customWidth="1"/>
    <col min="1537" max="1540" width="8.85546875" style="7"/>
    <col min="1541" max="1542" width="10.140625" style="7" bestFit="1" customWidth="1"/>
    <col min="1543" max="1549" width="8.85546875" style="7"/>
    <col min="1550" max="1550" width="13.42578125" style="7" bestFit="1" customWidth="1"/>
    <col min="1551" max="1791" width="8.85546875" style="7"/>
    <col min="1792" max="1792" width="26.5703125" style="7" customWidth="1"/>
    <col min="1793" max="1796" width="8.85546875" style="7"/>
    <col min="1797" max="1798" width="10.140625" style="7" bestFit="1" customWidth="1"/>
    <col min="1799" max="1805" width="8.85546875" style="7"/>
    <col min="1806" max="1806" width="13.42578125" style="7" bestFit="1" customWidth="1"/>
    <col min="1807" max="2047" width="8.85546875" style="7"/>
    <col min="2048" max="2048" width="26.5703125" style="7" customWidth="1"/>
    <col min="2049" max="2052" width="8.85546875" style="7"/>
    <col min="2053" max="2054" width="10.140625" style="7" bestFit="1" customWidth="1"/>
    <col min="2055" max="2061" width="8.85546875" style="7"/>
    <col min="2062" max="2062" width="13.42578125" style="7" bestFit="1" customWidth="1"/>
    <col min="2063" max="2303" width="8.85546875" style="7"/>
    <col min="2304" max="2304" width="26.5703125" style="7" customWidth="1"/>
    <col min="2305" max="2308" width="8.85546875" style="7"/>
    <col min="2309" max="2310" width="10.140625" style="7" bestFit="1" customWidth="1"/>
    <col min="2311" max="2317" width="8.85546875" style="7"/>
    <col min="2318" max="2318" width="13.42578125" style="7" bestFit="1" customWidth="1"/>
    <col min="2319" max="2559" width="8.85546875" style="7"/>
    <col min="2560" max="2560" width="26.5703125" style="7" customWidth="1"/>
    <col min="2561" max="2564" width="8.85546875" style="7"/>
    <col min="2565" max="2566" width="10.140625" style="7" bestFit="1" customWidth="1"/>
    <col min="2567" max="2573" width="8.85546875" style="7"/>
    <col min="2574" max="2574" width="13.42578125" style="7" bestFit="1" customWidth="1"/>
    <col min="2575" max="2815" width="8.85546875" style="7"/>
    <col min="2816" max="2816" width="26.5703125" style="7" customWidth="1"/>
    <col min="2817" max="2820" width="8.85546875" style="7"/>
    <col min="2821" max="2822" width="10.140625" style="7" bestFit="1" customWidth="1"/>
    <col min="2823" max="2829" width="8.85546875" style="7"/>
    <col min="2830" max="2830" width="13.42578125" style="7" bestFit="1" customWidth="1"/>
    <col min="2831" max="3071" width="8.85546875" style="7"/>
    <col min="3072" max="3072" width="26.5703125" style="7" customWidth="1"/>
    <col min="3073" max="3076" width="8.85546875" style="7"/>
    <col min="3077" max="3078" width="10.140625" style="7" bestFit="1" customWidth="1"/>
    <col min="3079" max="3085" width="8.85546875" style="7"/>
    <col min="3086" max="3086" width="13.42578125" style="7" bestFit="1" customWidth="1"/>
    <col min="3087" max="3327" width="8.85546875" style="7"/>
    <col min="3328" max="3328" width="26.5703125" style="7" customWidth="1"/>
    <col min="3329" max="3332" width="8.85546875" style="7"/>
    <col min="3333" max="3334" width="10.140625" style="7" bestFit="1" customWidth="1"/>
    <col min="3335" max="3341" width="8.85546875" style="7"/>
    <col min="3342" max="3342" width="13.42578125" style="7" bestFit="1" customWidth="1"/>
    <col min="3343" max="3583" width="8.85546875" style="7"/>
    <col min="3584" max="3584" width="26.5703125" style="7" customWidth="1"/>
    <col min="3585" max="3588" width="8.85546875" style="7"/>
    <col min="3589" max="3590" width="10.140625" style="7" bestFit="1" customWidth="1"/>
    <col min="3591" max="3597" width="8.85546875" style="7"/>
    <col min="3598" max="3598" width="13.42578125" style="7" bestFit="1" customWidth="1"/>
    <col min="3599" max="3839" width="8.85546875" style="7"/>
    <col min="3840" max="3840" width="26.5703125" style="7" customWidth="1"/>
    <col min="3841" max="3844" width="8.85546875" style="7"/>
    <col min="3845" max="3846" width="10.140625" style="7" bestFit="1" customWidth="1"/>
    <col min="3847" max="3853" width="8.85546875" style="7"/>
    <col min="3854" max="3854" width="13.42578125" style="7" bestFit="1" customWidth="1"/>
    <col min="3855" max="4095" width="8.85546875" style="7"/>
    <col min="4096" max="4096" width="26.5703125" style="7" customWidth="1"/>
    <col min="4097" max="4100" width="8.85546875" style="7"/>
    <col min="4101" max="4102" width="10.140625" style="7" bestFit="1" customWidth="1"/>
    <col min="4103" max="4109" width="8.85546875" style="7"/>
    <col min="4110" max="4110" width="13.42578125" style="7" bestFit="1" customWidth="1"/>
    <col min="4111" max="4351" width="8.85546875" style="7"/>
    <col min="4352" max="4352" width="26.5703125" style="7" customWidth="1"/>
    <col min="4353" max="4356" width="8.85546875" style="7"/>
    <col min="4357" max="4358" width="10.140625" style="7" bestFit="1" customWidth="1"/>
    <col min="4359" max="4365" width="8.85546875" style="7"/>
    <col min="4366" max="4366" width="13.42578125" style="7" bestFit="1" customWidth="1"/>
    <col min="4367" max="4607" width="8.85546875" style="7"/>
    <col min="4608" max="4608" width="26.5703125" style="7" customWidth="1"/>
    <col min="4609" max="4612" width="8.85546875" style="7"/>
    <col min="4613" max="4614" width="10.140625" style="7" bestFit="1" customWidth="1"/>
    <col min="4615" max="4621" width="8.85546875" style="7"/>
    <col min="4622" max="4622" width="13.42578125" style="7" bestFit="1" customWidth="1"/>
    <col min="4623" max="4863" width="8.85546875" style="7"/>
    <col min="4864" max="4864" width="26.5703125" style="7" customWidth="1"/>
    <col min="4865" max="4868" width="8.85546875" style="7"/>
    <col min="4869" max="4870" width="10.140625" style="7" bestFit="1" customWidth="1"/>
    <col min="4871" max="4877" width="8.85546875" style="7"/>
    <col min="4878" max="4878" width="13.42578125" style="7" bestFit="1" customWidth="1"/>
    <col min="4879" max="5119" width="8.85546875" style="7"/>
    <col min="5120" max="5120" width="26.5703125" style="7" customWidth="1"/>
    <col min="5121" max="5124" width="8.85546875" style="7"/>
    <col min="5125" max="5126" width="10.140625" style="7" bestFit="1" customWidth="1"/>
    <col min="5127" max="5133" width="8.85546875" style="7"/>
    <col min="5134" max="5134" width="13.42578125" style="7" bestFit="1" customWidth="1"/>
    <col min="5135" max="5375" width="8.85546875" style="7"/>
    <col min="5376" max="5376" width="26.5703125" style="7" customWidth="1"/>
    <col min="5377" max="5380" width="8.85546875" style="7"/>
    <col min="5381" max="5382" width="10.140625" style="7" bestFit="1" customWidth="1"/>
    <col min="5383" max="5389" width="8.85546875" style="7"/>
    <col min="5390" max="5390" width="13.42578125" style="7" bestFit="1" customWidth="1"/>
    <col min="5391" max="5631" width="8.85546875" style="7"/>
    <col min="5632" max="5632" width="26.5703125" style="7" customWidth="1"/>
    <col min="5633" max="5636" width="8.85546875" style="7"/>
    <col min="5637" max="5638" width="10.140625" style="7" bestFit="1" customWidth="1"/>
    <col min="5639" max="5645" width="8.85546875" style="7"/>
    <col min="5646" max="5646" width="13.42578125" style="7" bestFit="1" customWidth="1"/>
    <col min="5647" max="5887" width="8.85546875" style="7"/>
    <col min="5888" max="5888" width="26.5703125" style="7" customWidth="1"/>
    <col min="5889" max="5892" width="8.85546875" style="7"/>
    <col min="5893" max="5894" width="10.140625" style="7" bestFit="1" customWidth="1"/>
    <col min="5895" max="5901" width="8.85546875" style="7"/>
    <col min="5902" max="5902" width="13.42578125" style="7" bestFit="1" customWidth="1"/>
    <col min="5903" max="6143" width="8.85546875" style="7"/>
    <col min="6144" max="6144" width="26.5703125" style="7" customWidth="1"/>
    <col min="6145" max="6148" width="8.85546875" style="7"/>
    <col min="6149" max="6150" width="10.140625" style="7" bestFit="1" customWidth="1"/>
    <col min="6151" max="6157" width="8.85546875" style="7"/>
    <col min="6158" max="6158" width="13.42578125" style="7" bestFit="1" customWidth="1"/>
    <col min="6159" max="6399" width="8.85546875" style="7"/>
    <col min="6400" max="6400" width="26.5703125" style="7" customWidth="1"/>
    <col min="6401" max="6404" width="8.85546875" style="7"/>
    <col min="6405" max="6406" width="10.140625" style="7" bestFit="1" customWidth="1"/>
    <col min="6407" max="6413" width="8.85546875" style="7"/>
    <col min="6414" max="6414" width="13.42578125" style="7" bestFit="1" customWidth="1"/>
    <col min="6415" max="6655" width="8.85546875" style="7"/>
    <col min="6656" max="6656" width="26.5703125" style="7" customWidth="1"/>
    <col min="6657" max="6660" width="8.85546875" style="7"/>
    <col min="6661" max="6662" width="10.140625" style="7" bestFit="1" customWidth="1"/>
    <col min="6663" max="6669" width="8.85546875" style="7"/>
    <col min="6670" max="6670" width="13.42578125" style="7" bestFit="1" customWidth="1"/>
    <col min="6671" max="6911" width="8.85546875" style="7"/>
    <col min="6912" max="6912" width="26.5703125" style="7" customWidth="1"/>
    <col min="6913" max="6916" width="8.85546875" style="7"/>
    <col min="6917" max="6918" width="10.140625" style="7" bestFit="1" customWidth="1"/>
    <col min="6919" max="6925" width="8.85546875" style="7"/>
    <col min="6926" max="6926" width="13.42578125" style="7" bestFit="1" customWidth="1"/>
    <col min="6927" max="7167" width="8.85546875" style="7"/>
    <col min="7168" max="7168" width="26.5703125" style="7" customWidth="1"/>
    <col min="7169" max="7172" width="8.85546875" style="7"/>
    <col min="7173" max="7174" width="10.140625" style="7" bestFit="1" customWidth="1"/>
    <col min="7175" max="7181" width="8.85546875" style="7"/>
    <col min="7182" max="7182" width="13.42578125" style="7" bestFit="1" customWidth="1"/>
    <col min="7183" max="7423" width="8.85546875" style="7"/>
    <col min="7424" max="7424" width="26.5703125" style="7" customWidth="1"/>
    <col min="7425" max="7428" width="8.85546875" style="7"/>
    <col min="7429" max="7430" width="10.140625" style="7" bestFit="1" customWidth="1"/>
    <col min="7431" max="7437" width="8.85546875" style="7"/>
    <col min="7438" max="7438" width="13.42578125" style="7" bestFit="1" customWidth="1"/>
    <col min="7439" max="7679" width="8.85546875" style="7"/>
    <col min="7680" max="7680" width="26.5703125" style="7" customWidth="1"/>
    <col min="7681" max="7684" width="8.85546875" style="7"/>
    <col min="7685" max="7686" width="10.140625" style="7" bestFit="1" customWidth="1"/>
    <col min="7687" max="7693" width="8.85546875" style="7"/>
    <col min="7694" max="7694" width="13.42578125" style="7" bestFit="1" customWidth="1"/>
    <col min="7695" max="7935" width="8.85546875" style="7"/>
    <col min="7936" max="7936" width="26.5703125" style="7" customWidth="1"/>
    <col min="7937" max="7940" width="8.85546875" style="7"/>
    <col min="7941" max="7942" width="10.140625" style="7" bestFit="1" customWidth="1"/>
    <col min="7943" max="7949" width="8.85546875" style="7"/>
    <col min="7950" max="7950" width="13.42578125" style="7" bestFit="1" customWidth="1"/>
    <col min="7951" max="8191" width="8.85546875" style="7"/>
    <col min="8192" max="8192" width="26.5703125" style="7" customWidth="1"/>
    <col min="8193" max="8196" width="8.85546875" style="7"/>
    <col min="8197" max="8198" width="10.140625" style="7" bestFit="1" customWidth="1"/>
    <col min="8199" max="8205" width="8.85546875" style="7"/>
    <col min="8206" max="8206" width="13.42578125" style="7" bestFit="1" customWidth="1"/>
    <col min="8207" max="8447" width="8.85546875" style="7"/>
    <col min="8448" max="8448" width="26.5703125" style="7" customWidth="1"/>
    <col min="8449" max="8452" width="8.85546875" style="7"/>
    <col min="8453" max="8454" width="10.140625" style="7" bestFit="1" customWidth="1"/>
    <col min="8455" max="8461" width="8.85546875" style="7"/>
    <col min="8462" max="8462" width="13.42578125" style="7" bestFit="1" customWidth="1"/>
    <col min="8463" max="8703" width="8.85546875" style="7"/>
    <col min="8704" max="8704" width="26.5703125" style="7" customWidth="1"/>
    <col min="8705" max="8708" width="8.85546875" style="7"/>
    <col min="8709" max="8710" width="10.140625" style="7" bestFit="1" customWidth="1"/>
    <col min="8711" max="8717" width="8.85546875" style="7"/>
    <col min="8718" max="8718" width="13.42578125" style="7" bestFit="1" customWidth="1"/>
    <col min="8719" max="8959" width="8.85546875" style="7"/>
    <col min="8960" max="8960" width="26.5703125" style="7" customWidth="1"/>
    <col min="8961" max="8964" width="8.85546875" style="7"/>
    <col min="8965" max="8966" width="10.140625" style="7" bestFit="1" customWidth="1"/>
    <col min="8967" max="8973" width="8.85546875" style="7"/>
    <col min="8974" max="8974" width="13.42578125" style="7" bestFit="1" customWidth="1"/>
    <col min="8975" max="9215" width="8.85546875" style="7"/>
    <col min="9216" max="9216" width="26.5703125" style="7" customWidth="1"/>
    <col min="9217" max="9220" width="8.85546875" style="7"/>
    <col min="9221" max="9222" width="10.140625" style="7" bestFit="1" customWidth="1"/>
    <col min="9223" max="9229" width="8.85546875" style="7"/>
    <col min="9230" max="9230" width="13.42578125" style="7" bestFit="1" customWidth="1"/>
    <col min="9231" max="9471" width="8.85546875" style="7"/>
    <col min="9472" max="9472" width="26.5703125" style="7" customWidth="1"/>
    <col min="9473" max="9476" width="8.85546875" style="7"/>
    <col min="9477" max="9478" width="10.140625" style="7" bestFit="1" customWidth="1"/>
    <col min="9479" max="9485" width="8.85546875" style="7"/>
    <col min="9486" max="9486" width="13.42578125" style="7" bestFit="1" customWidth="1"/>
    <col min="9487" max="9727" width="8.85546875" style="7"/>
    <col min="9728" max="9728" width="26.5703125" style="7" customWidth="1"/>
    <col min="9729" max="9732" width="8.85546875" style="7"/>
    <col min="9733" max="9734" width="10.140625" style="7" bestFit="1" customWidth="1"/>
    <col min="9735" max="9741" width="8.85546875" style="7"/>
    <col min="9742" max="9742" width="13.42578125" style="7" bestFit="1" customWidth="1"/>
    <col min="9743" max="9983" width="8.85546875" style="7"/>
    <col min="9984" max="9984" width="26.5703125" style="7" customWidth="1"/>
    <col min="9985" max="9988" width="8.85546875" style="7"/>
    <col min="9989" max="9990" width="10.140625" style="7" bestFit="1" customWidth="1"/>
    <col min="9991" max="9997" width="8.85546875" style="7"/>
    <col min="9998" max="9998" width="13.42578125" style="7" bestFit="1" customWidth="1"/>
    <col min="9999" max="10239" width="8.85546875" style="7"/>
    <col min="10240" max="10240" width="26.5703125" style="7" customWidth="1"/>
    <col min="10241" max="10244" width="8.85546875" style="7"/>
    <col min="10245" max="10246" width="10.140625" style="7" bestFit="1" customWidth="1"/>
    <col min="10247" max="10253" width="8.85546875" style="7"/>
    <col min="10254" max="10254" width="13.42578125" style="7" bestFit="1" customWidth="1"/>
    <col min="10255" max="10495" width="8.85546875" style="7"/>
    <col min="10496" max="10496" width="26.5703125" style="7" customWidth="1"/>
    <col min="10497" max="10500" width="8.85546875" style="7"/>
    <col min="10501" max="10502" width="10.140625" style="7" bestFit="1" customWidth="1"/>
    <col min="10503" max="10509" width="8.85546875" style="7"/>
    <col min="10510" max="10510" width="13.42578125" style="7" bestFit="1" customWidth="1"/>
    <col min="10511" max="10751" width="8.85546875" style="7"/>
    <col min="10752" max="10752" width="26.5703125" style="7" customWidth="1"/>
    <col min="10753" max="10756" width="8.85546875" style="7"/>
    <col min="10757" max="10758" width="10.140625" style="7" bestFit="1" customWidth="1"/>
    <col min="10759" max="10765" width="8.85546875" style="7"/>
    <col min="10766" max="10766" width="13.42578125" style="7" bestFit="1" customWidth="1"/>
    <col min="10767" max="11007" width="8.85546875" style="7"/>
    <col min="11008" max="11008" width="26.5703125" style="7" customWidth="1"/>
    <col min="11009" max="11012" width="8.85546875" style="7"/>
    <col min="11013" max="11014" width="10.140625" style="7" bestFit="1" customWidth="1"/>
    <col min="11015" max="11021" width="8.85546875" style="7"/>
    <col min="11022" max="11022" width="13.42578125" style="7" bestFit="1" customWidth="1"/>
    <col min="11023" max="11263" width="8.85546875" style="7"/>
    <col min="11264" max="11264" width="26.5703125" style="7" customWidth="1"/>
    <col min="11265" max="11268" width="8.85546875" style="7"/>
    <col min="11269" max="11270" width="10.140625" style="7" bestFit="1" customWidth="1"/>
    <col min="11271" max="11277" width="8.85546875" style="7"/>
    <col min="11278" max="11278" width="13.42578125" style="7" bestFit="1" customWidth="1"/>
    <col min="11279" max="11519" width="8.85546875" style="7"/>
    <col min="11520" max="11520" width="26.5703125" style="7" customWidth="1"/>
    <col min="11521" max="11524" width="8.85546875" style="7"/>
    <col min="11525" max="11526" width="10.140625" style="7" bestFit="1" customWidth="1"/>
    <col min="11527" max="11533" width="8.85546875" style="7"/>
    <col min="11534" max="11534" width="13.42578125" style="7" bestFit="1" customWidth="1"/>
    <col min="11535" max="11775" width="8.85546875" style="7"/>
    <col min="11776" max="11776" width="26.5703125" style="7" customWidth="1"/>
    <col min="11777" max="11780" width="8.85546875" style="7"/>
    <col min="11781" max="11782" width="10.140625" style="7" bestFit="1" customWidth="1"/>
    <col min="11783" max="11789" width="8.85546875" style="7"/>
    <col min="11790" max="11790" width="13.42578125" style="7" bestFit="1" customWidth="1"/>
    <col min="11791" max="12031" width="8.85546875" style="7"/>
    <col min="12032" max="12032" width="26.5703125" style="7" customWidth="1"/>
    <col min="12033" max="12036" width="8.85546875" style="7"/>
    <col min="12037" max="12038" width="10.140625" style="7" bestFit="1" customWidth="1"/>
    <col min="12039" max="12045" width="8.85546875" style="7"/>
    <col min="12046" max="12046" width="13.42578125" style="7" bestFit="1" customWidth="1"/>
    <col min="12047" max="12287" width="8.85546875" style="7"/>
    <col min="12288" max="12288" width="26.5703125" style="7" customWidth="1"/>
    <col min="12289" max="12292" width="8.85546875" style="7"/>
    <col min="12293" max="12294" width="10.140625" style="7" bestFit="1" customWidth="1"/>
    <col min="12295" max="12301" width="8.85546875" style="7"/>
    <col min="12302" max="12302" width="13.42578125" style="7" bestFit="1" customWidth="1"/>
    <col min="12303" max="12543" width="8.85546875" style="7"/>
    <col min="12544" max="12544" width="26.5703125" style="7" customWidth="1"/>
    <col min="12545" max="12548" width="8.85546875" style="7"/>
    <col min="12549" max="12550" width="10.140625" style="7" bestFit="1" customWidth="1"/>
    <col min="12551" max="12557" width="8.85546875" style="7"/>
    <col min="12558" max="12558" width="13.42578125" style="7" bestFit="1" customWidth="1"/>
    <col min="12559" max="12799" width="8.85546875" style="7"/>
    <col min="12800" max="12800" width="26.5703125" style="7" customWidth="1"/>
    <col min="12801" max="12804" width="8.85546875" style="7"/>
    <col min="12805" max="12806" width="10.140625" style="7" bestFit="1" customWidth="1"/>
    <col min="12807" max="12813" width="8.85546875" style="7"/>
    <col min="12814" max="12814" width="13.42578125" style="7" bestFit="1" customWidth="1"/>
    <col min="12815" max="13055" width="8.85546875" style="7"/>
    <col min="13056" max="13056" width="26.5703125" style="7" customWidth="1"/>
    <col min="13057" max="13060" width="8.85546875" style="7"/>
    <col min="13061" max="13062" width="10.140625" style="7" bestFit="1" customWidth="1"/>
    <col min="13063" max="13069" width="8.85546875" style="7"/>
    <col min="13070" max="13070" width="13.42578125" style="7" bestFit="1" customWidth="1"/>
    <col min="13071" max="13311" width="8.85546875" style="7"/>
    <col min="13312" max="13312" width="26.5703125" style="7" customWidth="1"/>
    <col min="13313" max="13316" width="8.85546875" style="7"/>
    <col min="13317" max="13318" width="10.140625" style="7" bestFit="1" customWidth="1"/>
    <col min="13319" max="13325" width="8.85546875" style="7"/>
    <col min="13326" max="13326" width="13.42578125" style="7" bestFit="1" customWidth="1"/>
    <col min="13327" max="13567" width="8.85546875" style="7"/>
    <col min="13568" max="13568" width="26.5703125" style="7" customWidth="1"/>
    <col min="13569" max="13572" width="8.85546875" style="7"/>
    <col min="13573" max="13574" width="10.140625" style="7" bestFit="1" customWidth="1"/>
    <col min="13575" max="13581" width="8.85546875" style="7"/>
    <col min="13582" max="13582" width="13.42578125" style="7" bestFit="1" customWidth="1"/>
    <col min="13583" max="13823" width="8.85546875" style="7"/>
    <col min="13824" max="13824" width="26.5703125" style="7" customWidth="1"/>
    <col min="13825" max="13828" width="8.85546875" style="7"/>
    <col min="13829" max="13830" width="10.140625" style="7" bestFit="1" customWidth="1"/>
    <col min="13831" max="13837" width="8.85546875" style="7"/>
    <col min="13838" max="13838" width="13.42578125" style="7" bestFit="1" customWidth="1"/>
    <col min="13839" max="14079" width="8.85546875" style="7"/>
    <col min="14080" max="14080" width="26.5703125" style="7" customWidth="1"/>
    <col min="14081" max="14084" width="8.85546875" style="7"/>
    <col min="14085" max="14086" width="10.140625" style="7" bestFit="1" customWidth="1"/>
    <col min="14087" max="14093" width="8.85546875" style="7"/>
    <col min="14094" max="14094" width="13.42578125" style="7" bestFit="1" customWidth="1"/>
    <col min="14095" max="14335" width="8.85546875" style="7"/>
    <col min="14336" max="14336" width="26.5703125" style="7" customWidth="1"/>
    <col min="14337" max="14340" width="8.85546875" style="7"/>
    <col min="14341" max="14342" width="10.140625" style="7" bestFit="1" customWidth="1"/>
    <col min="14343" max="14349" width="8.85546875" style="7"/>
    <col min="14350" max="14350" width="13.42578125" style="7" bestFit="1" customWidth="1"/>
    <col min="14351" max="14591" width="8.85546875" style="7"/>
    <col min="14592" max="14592" width="26.5703125" style="7" customWidth="1"/>
    <col min="14593" max="14596" width="8.85546875" style="7"/>
    <col min="14597" max="14598" width="10.140625" style="7" bestFit="1" customWidth="1"/>
    <col min="14599" max="14605" width="8.85546875" style="7"/>
    <col min="14606" max="14606" width="13.42578125" style="7" bestFit="1" customWidth="1"/>
    <col min="14607" max="14847" width="8.85546875" style="7"/>
    <col min="14848" max="14848" width="26.5703125" style="7" customWidth="1"/>
    <col min="14849" max="14852" width="8.85546875" style="7"/>
    <col min="14853" max="14854" width="10.140625" style="7" bestFit="1" customWidth="1"/>
    <col min="14855" max="14861" width="8.85546875" style="7"/>
    <col min="14862" max="14862" width="13.42578125" style="7" bestFit="1" customWidth="1"/>
    <col min="14863" max="15103" width="8.85546875" style="7"/>
    <col min="15104" max="15104" width="26.5703125" style="7" customWidth="1"/>
    <col min="15105" max="15108" width="8.85546875" style="7"/>
    <col min="15109" max="15110" width="10.140625" style="7" bestFit="1" customWidth="1"/>
    <col min="15111" max="15117" width="8.85546875" style="7"/>
    <col min="15118" max="15118" width="13.42578125" style="7" bestFit="1" customWidth="1"/>
    <col min="15119" max="15359" width="8.85546875" style="7"/>
    <col min="15360" max="15360" width="26.5703125" style="7" customWidth="1"/>
    <col min="15361" max="15364" width="8.85546875" style="7"/>
    <col min="15365" max="15366" width="10.140625" style="7" bestFit="1" customWidth="1"/>
    <col min="15367" max="15373" width="8.85546875" style="7"/>
    <col min="15374" max="15374" width="13.42578125" style="7" bestFit="1" customWidth="1"/>
    <col min="15375" max="15615" width="8.85546875" style="7"/>
    <col min="15616" max="15616" width="26.5703125" style="7" customWidth="1"/>
    <col min="15617" max="15620" width="8.85546875" style="7"/>
    <col min="15621" max="15622" width="10.140625" style="7" bestFit="1" customWidth="1"/>
    <col min="15623" max="15629" width="8.85546875" style="7"/>
    <col min="15630" max="15630" width="13.42578125" style="7" bestFit="1" customWidth="1"/>
    <col min="15631" max="15871" width="8.85546875" style="7"/>
    <col min="15872" max="15872" width="26.5703125" style="7" customWidth="1"/>
    <col min="15873" max="15876" width="8.85546875" style="7"/>
    <col min="15877" max="15878" width="10.140625" style="7" bestFit="1" customWidth="1"/>
    <col min="15879" max="15885" width="8.85546875" style="7"/>
    <col min="15886" max="15886" width="13.42578125" style="7" bestFit="1" customWidth="1"/>
    <col min="15887" max="16127" width="8.85546875" style="7"/>
    <col min="16128" max="16128" width="26.5703125" style="7" customWidth="1"/>
    <col min="16129" max="16132" width="8.85546875" style="7"/>
    <col min="16133" max="16134" width="10.140625" style="7" bestFit="1" customWidth="1"/>
    <col min="16135" max="16141" width="8.85546875" style="7"/>
    <col min="16142" max="16142" width="13.42578125" style="7" bestFit="1" customWidth="1"/>
    <col min="16143" max="16384" width="8.85546875" style="7"/>
  </cols>
  <sheetData>
    <row r="1" spans="1:22" ht="18.75" x14ac:dyDescent="0.3">
      <c r="A1" s="26" t="s">
        <v>29</v>
      </c>
    </row>
    <row r="2" spans="1:22" ht="13.9" x14ac:dyDescent="0.3">
      <c r="P2" s="8"/>
    </row>
    <row r="3" spans="1:22" ht="55.15" x14ac:dyDescent="0.3">
      <c r="A3" s="1"/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38" t="s">
        <v>41</v>
      </c>
      <c r="P3" s="41" t="s">
        <v>42</v>
      </c>
      <c r="Q3" s="41" t="s">
        <v>27</v>
      </c>
      <c r="R3" s="41" t="s">
        <v>28</v>
      </c>
      <c r="S3" s="41" t="s">
        <v>23</v>
      </c>
      <c r="T3" s="41" t="s">
        <v>47</v>
      </c>
      <c r="U3" s="7"/>
      <c r="V3" s="7"/>
    </row>
    <row r="4" spans="1:22" ht="27.6" x14ac:dyDescent="0.3">
      <c r="A4" s="12" t="s">
        <v>12</v>
      </c>
      <c r="B4" s="6">
        <f>SUM(B5:B13)</f>
        <v>2229.04</v>
      </c>
      <c r="C4" s="6">
        <f t="shared" ref="C4:K4" si="0">SUM(C5:C13)</f>
        <v>2386.8000000000002</v>
      </c>
      <c r="D4" s="6">
        <f t="shared" si="0"/>
        <v>2660.8699999999994</v>
      </c>
      <c r="E4" s="6">
        <f t="shared" si="0"/>
        <v>2604.0700000000006</v>
      </c>
      <c r="F4" s="6">
        <f t="shared" si="0"/>
        <v>2578.0860000000002</v>
      </c>
      <c r="G4" s="6">
        <f t="shared" si="0"/>
        <v>3949.7</v>
      </c>
      <c r="H4" s="6">
        <f t="shared" si="0"/>
        <v>2711.7599999999993</v>
      </c>
      <c r="I4" s="6">
        <f t="shared" si="0"/>
        <v>2748.6100000000006</v>
      </c>
      <c r="J4" s="6">
        <f t="shared" si="0"/>
        <v>2751.6299999999997</v>
      </c>
      <c r="K4" s="6">
        <f t="shared" si="0"/>
        <v>2742.2</v>
      </c>
      <c r="L4" s="6">
        <f>SUM(L5:L13)</f>
        <v>2673.36</v>
      </c>
      <c r="M4" s="6">
        <f>SUM(M5:M13)</f>
        <v>3908.0000000000005</v>
      </c>
      <c r="N4" s="39">
        <f t="shared" ref="N4:N13" si="1">SUM(B4:M4)</f>
        <v>33944.126000000004</v>
      </c>
      <c r="P4" s="13">
        <f>SUM(P5:P13)</f>
        <v>17535.559999999998</v>
      </c>
      <c r="Q4" s="14"/>
      <c r="R4" s="14"/>
      <c r="S4" s="14"/>
      <c r="T4" s="15">
        <f>SUM(T5:T13)</f>
        <v>626644.92680000002</v>
      </c>
      <c r="U4" s="7"/>
      <c r="V4" s="7"/>
    </row>
    <row r="5" spans="1:22" ht="13.9" x14ac:dyDescent="0.3">
      <c r="A5" s="16" t="s">
        <v>13</v>
      </c>
      <c r="B5" s="17">
        <f>248.28+27.43</f>
        <v>275.70999999999998</v>
      </c>
      <c r="C5" s="17">
        <f>262.98+29.6</f>
        <v>292.58000000000004</v>
      </c>
      <c r="D5" s="17">
        <f>284.37+38.68</f>
        <v>323.05</v>
      </c>
      <c r="E5" s="17">
        <f>279.88+41.43</f>
        <v>321.31</v>
      </c>
      <c r="F5" s="2">
        <f>308.616+52.82</f>
        <v>361.43599999999998</v>
      </c>
      <c r="G5" s="17">
        <f>404.65+77.98</f>
        <v>482.63</v>
      </c>
      <c r="H5" s="17">
        <f>254.02+59.5</f>
        <v>313.52</v>
      </c>
      <c r="I5" s="17">
        <f>255.6+68.63-27.42-4.67</f>
        <v>292.14</v>
      </c>
      <c r="J5" s="17">
        <f>246.97+46.48</f>
        <v>293.45</v>
      </c>
      <c r="K5" s="17">
        <f>256.33+40.28</f>
        <v>296.61</v>
      </c>
      <c r="L5" s="17">
        <f>242.33+50.53</f>
        <v>292.86</v>
      </c>
      <c r="M5" s="17">
        <v>388.9</v>
      </c>
      <c r="N5" s="40">
        <f>SUM(B5:M5)</f>
        <v>3934.1959999999999</v>
      </c>
      <c r="P5" s="18">
        <f>SUM(H5:M5)</f>
        <v>1877.48</v>
      </c>
      <c r="Q5" s="19">
        <v>299.7</v>
      </c>
      <c r="R5" s="19">
        <v>313.18</v>
      </c>
      <c r="S5" s="19">
        <f>SUM(R5-Q5)</f>
        <v>13.480000000000018</v>
      </c>
      <c r="T5" s="20">
        <f>SUM(P5*S5)</f>
        <v>25308.430400000034</v>
      </c>
      <c r="V5" s="7"/>
    </row>
    <row r="6" spans="1:22" ht="13.9" x14ac:dyDescent="0.3">
      <c r="A6" s="16" t="s">
        <v>14</v>
      </c>
      <c r="B6" s="17">
        <f>668.22+67.15</f>
        <v>735.37</v>
      </c>
      <c r="C6" s="17">
        <f>719.78+72.92</f>
        <v>792.69999999999993</v>
      </c>
      <c r="D6" s="17">
        <f>792.42+123.12</f>
        <v>915.54</v>
      </c>
      <c r="E6" s="17">
        <f>653.62+115.48</f>
        <v>769.1</v>
      </c>
      <c r="F6" s="17">
        <f>692.32+124.13</f>
        <v>816.45</v>
      </c>
      <c r="G6" s="17">
        <f>1114.83+171.22</f>
        <v>1286.05</v>
      </c>
      <c r="H6" s="17">
        <f>779.9+174.47</f>
        <v>954.37</v>
      </c>
      <c r="I6" s="17">
        <f>810.22+213.67-39.93-1.33</f>
        <v>982.63</v>
      </c>
      <c r="J6" s="17">
        <f>795.63+156.53</f>
        <v>952.16</v>
      </c>
      <c r="K6" s="17">
        <f>798.65+150.58</f>
        <v>949.23</v>
      </c>
      <c r="L6" s="17">
        <f>683.58+230.67</f>
        <v>914.25</v>
      </c>
      <c r="M6" s="17">
        <v>1354.3</v>
      </c>
      <c r="N6" s="40">
        <f t="shared" si="1"/>
        <v>11422.15</v>
      </c>
      <c r="P6" s="18">
        <f t="shared" ref="P6:P13" si="2">SUM(H6:M6)</f>
        <v>6106.94</v>
      </c>
      <c r="Q6" s="19">
        <v>379.43</v>
      </c>
      <c r="R6" s="19">
        <v>417.69</v>
      </c>
      <c r="S6" s="19">
        <f t="shared" ref="S6:S12" si="3">SUM(R6-Q6)</f>
        <v>38.259999999999991</v>
      </c>
      <c r="T6" s="20">
        <f t="shared" ref="T6:T12" si="4">SUM(P6*S6)</f>
        <v>233651.52439999994</v>
      </c>
      <c r="U6" s="7"/>
      <c r="V6" s="7"/>
    </row>
    <row r="7" spans="1:22" ht="13.9" x14ac:dyDescent="0.3">
      <c r="A7" s="16" t="s">
        <v>15</v>
      </c>
      <c r="B7" s="17">
        <f>247.65+20.43</f>
        <v>268.08</v>
      </c>
      <c r="C7" s="17">
        <f>259.48+27.95</f>
        <v>287.43</v>
      </c>
      <c r="D7" s="17">
        <f>271.82+44.63</f>
        <v>316.45</v>
      </c>
      <c r="E7" s="17">
        <f>383.7+69.77</f>
        <v>453.46999999999997</v>
      </c>
      <c r="F7" s="17">
        <f>292.68+51.72</f>
        <v>344.4</v>
      </c>
      <c r="G7" s="17">
        <f>438.72+65.32</f>
        <v>504.04</v>
      </c>
      <c r="H7" s="17">
        <f>264.5+63.48</f>
        <v>327.98</v>
      </c>
      <c r="I7" s="17">
        <f>278.73+78.75-22</f>
        <v>335.48</v>
      </c>
      <c r="J7" s="17">
        <f>281.67+55.83</f>
        <v>337.5</v>
      </c>
      <c r="K7" s="17">
        <f>273.42+57.5</f>
        <v>330.92</v>
      </c>
      <c r="L7" s="17">
        <f>240.07+90.73</f>
        <v>330.8</v>
      </c>
      <c r="M7" s="17">
        <v>523.29999999999995</v>
      </c>
      <c r="N7" s="40">
        <f t="shared" si="1"/>
        <v>4359.8500000000004</v>
      </c>
      <c r="P7" s="18">
        <f t="shared" si="2"/>
        <v>2185.98</v>
      </c>
      <c r="Q7" s="19">
        <v>405.66</v>
      </c>
      <c r="R7" s="19">
        <v>440.4</v>
      </c>
      <c r="S7" s="19">
        <f t="shared" si="3"/>
        <v>34.739999999999952</v>
      </c>
      <c r="T7" s="20">
        <f t="shared" si="4"/>
        <v>75940.9451999999</v>
      </c>
      <c r="U7" s="7"/>
      <c r="V7" s="7"/>
    </row>
    <row r="8" spans="1:22" ht="13.9" x14ac:dyDescent="0.3">
      <c r="A8" s="16" t="s">
        <v>16</v>
      </c>
      <c r="B8" s="17">
        <f>372.3+24.48</f>
        <v>396.78000000000003</v>
      </c>
      <c r="C8" s="17">
        <f>386.95+30.48</f>
        <v>417.43</v>
      </c>
      <c r="D8" s="17">
        <f>438.98+58.75</f>
        <v>497.73</v>
      </c>
      <c r="E8" s="17">
        <f>403.32+52.27</f>
        <v>455.59</v>
      </c>
      <c r="F8" s="17">
        <f>374.5+62.53</f>
        <v>437.03</v>
      </c>
      <c r="G8" s="17">
        <f>584.43+85.4</f>
        <v>669.82999999999993</v>
      </c>
      <c r="H8" s="17">
        <f>379.83+103.1</f>
        <v>482.92999999999995</v>
      </c>
      <c r="I8" s="17">
        <f>404.58+114.67-9.33</f>
        <v>509.92</v>
      </c>
      <c r="J8" s="17">
        <f>428.08+97.63</f>
        <v>525.71</v>
      </c>
      <c r="K8" s="17">
        <f>434.17+100.08</f>
        <v>534.25</v>
      </c>
      <c r="L8" s="17">
        <f>339.77+130.23</f>
        <v>470</v>
      </c>
      <c r="M8" s="17">
        <v>678.8</v>
      </c>
      <c r="N8" s="40">
        <f t="shared" si="1"/>
        <v>6076</v>
      </c>
      <c r="P8" s="18">
        <f t="shared" si="2"/>
        <v>3201.6099999999997</v>
      </c>
      <c r="Q8" s="19">
        <v>454.28</v>
      </c>
      <c r="R8" s="19">
        <v>493.95</v>
      </c>
      <c r="S8" s="19">
        <f t="shared" si="3"/>
        <v>39.670000000000016</v>
      </c>
      <c r="T8" s="20">
        <f t="shared" si="4"/>
        <v>127007.86870000004</v>
      </c>
      <c r="U8" s="7"/>
      <c r="V8" s="7"/>
    </row>
    <row r="9" spans="1:22" ht="13.9" x14ac:dyDescent="0.3">
      <c r="A9" s="3" t="s">
        <v>17</v>
      </c>
      <c r="B9" s="4">
        <f>65.17+4.83</f>
        <v>70</v>
      </c>
      <c r="C9" s="4">
        <f>65.63+5.67</f>
        <v>71.3</v>
      </c>
      <c r="D9" s="4">
        <f>64.33+12.43</f>
        <v>76.759999999999991</v>
      </c>
      <c r="E9" s="4">
        <f>55.83+11.67</f>
        <v>67.5</v>
      </c>
      <c r="F9" s="4">
        <f>54.92+8.17</f>
        <v>63.09</v>
      </c>
      <c r="G9" s="4">
        <f>87.25+12</f>
        <v>99.25</v>
      </c>
      <c r="H9" s="4">
        <f>65.67+18.3</f>
        <v>83.97</v>
      </c>
      <c r="I9" s="4">
        <f>67.68+22.75-39.67</f>
        <v>50.760000000000005</v>
      </c>
      <c r="J9" s="4">
        <f>58.17+17.33</f>
        <v>75.5</v>
      </c>
      <c r="K9" s="4">
        <f>56.58+19.67</f>
        <v>76.25</v>
      </c>
      <c r="L9" s="4">
        <f>44.68+22.17</f>
        <v>66.849999999999994</v>
      </c>
      <c r="M9" s="4">
        <v>78.3</v>
      </c>
      <c r="N9" s="39">
        <f t="shared" si="1"/>
        <v>879.53</v>
      </c>
      <c r="P9" s="18">
        <f t="shared" si="2"/>
        <v>431.63000000000005</v>
      </c>
      <c r="Q9" s="19">
        <v>574.44000000000005</v>
      </c>
      <c r="R9" s="19">
        <v>626.07000000000005</v>
      </c>
      <c r="S9" s="19">
        <f t="shared" si="3"/>
        <v>51.629999999999995</v>
      </c>
      <c r="T9" s="20">
        <f t="shared" si="4"/>
        <v>22285.0569</v>
      </c>
      <c r="U9" s="7"/>
      <c r="V9" s="7"/>
    </row>
    <row r="10" spans="1:22" ht="13.9" x14ac:dyDescent="0.3">
      <c r="A10" s="16" t="s">
        <v>18</v>
      </c>
      <c r="B10" s="2">
        <f>224.53+11.17</f>
        <v>235.7</v>
      </c>
      <c r="C10" s="17">
        <f>240.37+9.17</f>
        <v>249.54</v>
      </c>
      <c r="D10" s="17">
        <f>225.95+26.33</f>
        <v>252.27999999999997</v>
      </c>
      <c r="E10" s="17">
        <f>195.42+28</f>
        <v>223.42</v>
      </c>
      <c r="F10" s="17">
        <f>218.03+29.85</f>
        <v>247.88</v>
      </c>
      <c r="G10" s="17">
        <f>373+53.92</f>
        <v>426.92</v>
      </c>
      <c r="H10" s="17">
        <f>219.73+43.58</f>
        <v>263.31</v>
      </c>
      <c r="I10" s="17">
        <f>221+61.42-21.33</f>
        <v>261.09000000000003</v>
      </c>
      <c r="J10" s="17">
        <f>217.25+55.92</f>
        <v>273.17</v>
      </c>
      <c r="K10" s="17">
        <f>196.12+51.83</f>
        <v>247.95</v>
      </c>
      <c r="L10" s="17">
        <f>208.03+63.67</f>
        <v>271.7</v>
      </c>
      <c r="M10" s="17">
        <v>357</v>
      </c>
      <c r="N10" s="40">
        <f t="shared" si="1"/>
        <v>3309.9599999999996</v>
      </c>
      <c r="P10" s="18">
        <f t="shared" si="2"/>
        <v>1674.2200000000003</v>
      </c>
      <c r="Q10" s="19">
        <v>379.43</v>
      </c>
      <c r="R10" s="19">
        <v>417.69</v>
      </c>
      <c r="S10" s="19">
        <f t="shared" si="3"/>
        <v>38.259999999999991</v>
      </c>
      <c r="T10" s="20">
        <f t="shared" si="4"/>
        <v>64055.657199999994</v>
      </c>
      <c r="U10" s="7"/>
      <c r="V10" s="7"/>
    </row>
    <row r="11" spans="1:22" ht="13.9" x14ac:dyDescent="0.3">
      <c r="A11" s="16" t="s">
        <v>19</v>
      </c>
      <c r="B11" s="17">
        <f>78.67+3</f>
        <v>81.67</v>
      </c>
      <c r="C11" s="17">
        <f>86.17+3</f>
        <v>89.17</v>
      </c>
      <c r="D11" s="17">
        <f>77.67+9.33</f>
        <v>87</v>
      </c>
      <c r="E11" s="17">
        <f>114.7+9.33</f>
        <v>124.03</v>
      </c>
      <c r="F11" s="17">
        <f>87.5+12.48</f>
        <v>99.98</v>
      </c>
      <c r="G11" s="17">
        <f>143.3+18.93</f>
        <v>162.23000000000002</v>
      </c>
      <c r="H11" s="17">
        <f>76.87+15.33</f>
        <v>92.2</v>
      </c>
      <c r="I11" s="17">
        <f>76.86+23.83+4.67</f>
        <v>105.36</v>
      </c>
      <c r="J11" s="17">
        <f>73.5+20.33</f>
        <v>93.83</v>
      </c>
      <c r="K11" s="17">
        <f>68.5+19</f>
        <v>87.5</v>
      </c>
      <c r="L11" s="17">
        <f>72.67+22.67</f>
        <v>95.34</v>
      </c>
      <c r="M11" s="17">
        <v>179</v>
      </c>
      <c r="N11" s="40">
        <f t="shared" si="1"/>
        <v>1297.3100000000002</v>
      </c>
      <c r="P11" s="18">
        <f t="shared" si="2"/>
        <v>653.23</v>
      </c>
      <c r="Q11" s="19">
        <v>405.66</v>
      </c>
      <c r="R11" s="19">
        <v>440.4</v>
      </c>
      <c r="S11" s="19">
        <f t="shared" si="3"/>
        <v>34.739999999999952</v>
      </c>
      <c r="T11" s="20">
        <f t="shared" si="4"/>
        <v>22693.210199999969</v>
      </c>
      <c r="U11" s="7"/>
      <c r="V11" s="7"/>
    </row>
    <row r="12" spans="1:22" ht="13.9" x14ac:dyDescent="0.3">
      <c r="A12" s="22" t="s">
        <v>20</v>
      </c>
      <c r="B12" s="17">
        <f>158.73+7</f>
        <v>165.73</v>
      </c>
      <c r="C12" s="17">
        <f>179.65+7</f>
        <v>186.65</v>
      </c>
      <c r="D12" s="17">
        <f>175.73+16.33</f>
        <v>192.06</v>
      </c>
      <c r="E12" s="17">
        <f>173.32+16.33</f>
        <v>189.64999999999998</v>
      </c>
      <c r="F12" s="17">
        <f>186.82+21</f>
        <v>207.82</v>
      </c>
      <c r="G12" s="17">
        <f>286.35+27.07</f>
        <v>313.42</v>
      </c>
      <c r="H12" s="17">
        <f>166.65+26.83</f>
        <v>193.48000000000002</v>
      </c>
      <c r="I12" s="17">
        <f>182.4+47.83-19.33</f>
        <v>210.90000000000003</v>
      </c>
      <c r="J12" s="17">
        <f>152.48+47.83</f>
        <v>200.31</v>
      </c>
      <c r="K12" s="17">
        <f>171.82+47.67</f>
        <v>219.49</v>
      </c>
      <c r="L12" s="17">
        <f>170.23+61.33</f>
        <v>231.56</v>
      </c>
      <c r="M12" s="17">
        <v>348.4</v>
      </c>
      <c r="N12" s="40">
        <f t="shared" si="1"/>
        <v>2659.4700000000003</v>
      </c>
      <c r="P12" s="18">
        <f t="shared" si="2"/>
        <v>1404.1399999999999</v>
      </c>
      <c r="Q12" s="19">
        <v>454.28</v>
      </c>
      <c r="R12" s="19">
        <v>493.95</v>
      </c>
      <c r="S12" s="19">
        <f t="shared" si="3"/>
        <v>39.670000000000016</v>
      </c>
      <c r="T12" s="20">
        <f t="shared" si="4"/>
        <v>55702.233800000016</v>
      </c>
      <c r="U12" s="7"/>
      <c r="V12" s="7"/>
    </row>
    <row r="13" spans="1:22" ht="13.9" x14ac:dyDescent="0.3">
      <c r="A13" s="5" t="s">
        <v>21</v>
      </c>
      <c r="B13" s="4">
        <v>0</v>
      </c>
      <c r="C13" s="4">
        <v>0</v>
      </c>
      <c r="D13" s="4">
        <f>0</f>
        <v>0</v>
      </c>
      <c r="E13" s="4">
        <v>0</v>
      </c>
      <c r="F13" s="4">
        <v>0</v>
      </c>
      <c r="G13" s="4">
        <v>5.33</v>
      </c>
      <c r="H13" s="4">
        <v>0</v>
      </c>
      <c r="I13" s="4">
        <v>0.33</v>
      </c>
      <c r="J13" s="4">
        <v>0</v>
      </c>
      <c r="K13" s="4">
        <v>0</v>
      </c>
      <c r="L13" s="4">
        <v>0</v>
      </c>
      <c r="M13" s="4">
        <v>0</v>
      </c>
      <c r="N13" s="39">
        <f t="shared" si="1"/>
        <v>5.66</v>
      </c>
      <c r="P13" s="18">
        <f t="shared" si="2"/>
        <v>0.33</v>
      </c>
      <c r="Q13" s="19"/>
      <c r="R13" s="19"/>
      <c r="S13" s="19"/>
      <c r="T13" s="20"/>
      <c r="U13" s="7"/>
      <c r="V13" s="7"/>
    </row>
    <row r="14" spans="1:22" ht="13.9" x14ac:dyDescent="0.3">
      <c r="P14" s="23"/>
      <c r="Q14" s="24"/>
      <c r="R14" s="24"/>
      <c r="S14" s="24"/>
      <c r="T14" s="24"/>
      <c r="U14" s="25"/>
      <c r="V14" s="25"/>
    </row>
    <row r="15" spans="1:22" ht="14.45" customHeight="1" x14ac:dyDescent="0.3">
      <c r="Q15" s="7"/>
      <c r="R15" s="7"/>
      <c r="S15" s="7"/>
      <c r="T15" s="7"/>
      <c r="U15" s="25"/>
      <c r="V15" s="25"/>
    </row>
    <row r="16" spans="1:22" ht="14.45" customHeight="1" x14ac:dyDescent="0.3">
      <c r="A16" s="26" t="s">
        <v>44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/>
      <c r="P16"/>
      <c r="Q16"/>
      <c r="R16"/>
      <c r="S16"/>
      <c r="T16"/>
      <c r="U16" s="25"/>
      <c r="V16" s="25"/>
    </row>
    <row r="17" spans="1:22" ht="14.45" x14ac:dyDescent="0.3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/>
      <c r="P17"/>
      <c r="Q17"/>
      <c r="R17"/>
      <c r="S17"/>
      <c r="T17"/>
      <c r="U17" s="25"/>
      <c r="V17" s="25"/>
    </row>
    <row r="18" spans="1:22" ht="51" x14ac:dyDescent="0.25">
      <c r="A18" s="49" t="s">
        <v>45</v>
      </c>
      <c r="B18" s="28" t="s">
        <v>0</v>
      </c>
      <c r="C18" s="28" t="s">
        <v>1</v>
      </c>
      <c r="D18" s="28" t="s">
        <v>2</v>
      </c>
      <c r="E18" s="28" t="s">
        <v>3</v>
      </c>
      <c r="F18" s="28" t="s">
        <v>4</v>
      </c>
      <c r="G18" s="28" t="s">
        <v>5</v>
      </c>
      <c r="H18" s="28" t="s">
        <v>6</v>
      </c>
      <c r="I18" s="28" t="s">
        <v>7</v>
      </c>
      <c r="J18" s="28" t="s">
        <v>8</v>
      </c>
      <c r="K18" s="28" t="s">
        <v>9</v>
      </c>
      <c r="L18" s="28" t="s">
        <v>10</v>
      </c>
      <c r="M18" s="51" t="s">
        <v>11</v>
      </c>
      <c r="N18" s="66" t="s">
        <v>41</v>
      </c>
      <c r="O18"/>
      <c r="P18" s="41" t="s">
        <v>42</v>
      </c>
      <c r="Q18" s="65" t="s">
        <v>27</v>
      </c>
      <c r="R18" s="65" t="s">
        <v>28</v>
      </c>
      <c r="S18" s="11" t="s">
        <v>23</v>
      </c>
      <c r="T18" s="65" t="s">
        <v>24</v>
      </c>
      <c r="U18" s="25"/>
      <c r="V18" s="25"/>
    </row>
    <row r="19" spans="1:22" s="56" customFormat="1" ht="14.45" x14ac:dyDescent="0.3">
      <c r="A19" s="49" t="s">
        <v>46</v>
      </c>
      <c r="B19" s="54">
        <f>SUM(B20:B26)</f>
        <v>715.4</v>
      </c>
      <c r="C19" s="54">
        <f t="shared" ref="C19:M19" si="5">SUM(C20:C26)</f>
        <v>779.9</v>
      </c>
      <c r="D19" s="54">
        <f t="shared" si="5"/>
        <v>841.8</v>
      </c>
      <c r="E19" s="54">
        <f t="shared" si="5"/>
        <v>757.8</v>
      </c>
      <c r="F19" s="57">
        <f t="shared" si="5"/>
        <v>702.19999999999993</v>
      </c>
      <c r="G19" s="68">
        <f t="shared" si="5"/>
        <v>801.09999999999991</v>
      </c>
      <c r="H19" s="4">
        <f t="shared" si="5"/>
        <v>785.4</v>
      </c>
      <c r="I19" s="4">
        <f t="shared" si="5"/>
        <v>762.5</v>
      </c>
      <c r="J19" s="4">
        <f t="shared" si="5"/>
        <v>801.3</v>
      </c>
      <c r="K19" s="4">
        <f t="shared" si="5"/>
        <v>763.4</v>
      </c>
      <c r="L19" s="4">
        <f t="shared" si="5"/>
        <v>755.8</v>
      </c>
      <c r="M19" s="68">
        <f t="shared" si="5"/>
        <v>794.11999999999989</v>
      </c>
      <c r="N19" s="70">
        <f>SUM(B19:M19)</f>
        <v>9260.7199999999975</v>
      </c>
      <c r="O19" s="58"/>
      <c r="P19" s="64">
        <f>SUM(P20:P26)</f>
        <v>4662.5200000000004</v>
      </c>
      <c r="Q19" s="50"/>
      <c r="R19" s="50"/>
      <c r="S19" s="50"/>
      <c r="T19" s="52">
        <f>SUM(T20:T26)</f>
        <v>62850.769600000094</v>
      </c>
      <c r="U19" s="55"/>
      <c r="V19" s="55"/>
    </row>
    <row r="20" spans="1:22" ht="14.45" customHeight="1" x14ac:dyDescent="0.25">
      <c r="A20" s="31" t="s">
        <v>31</v>
      </c>
      <c r="B20" s="27">
        <v>159.30000000000001</v>
      </c>
      <c r="C20" s="27">
        <v>269.10000000000002</v>
      </c>
      <c r="D20" s="27">
        <v>214.3</v>
      </c>
      <c r="E20" s="27">
        <v>192.8</v>
      </c>
      <c r="F20" s="32">
        <v>176.3</v>
      </c>
      <c r="G20" s="69">
        <v>186.8</v>
      </c>
      <c r="H20" s="60">
        <v>175.9</v>
      </c>
      <c r="I20" s="60">
        <v>189.6</v>
      </c>
      <c r="J20" s="60">
        <v>196.8</v>
      </c>
      <c r="K20" s="60">
        <v>182.5</v>
      </c>
      <c r="L20" s="60">
        <v>181.6</v>
      </c>
      <c r="M20" s="61">
        <v>189</v>
      </c>
      <c r="N20" s="71">
        <f>SUM(B20:M20)</f>
        <v>2314</v>
      </c>
      <c r="O20" s="59"/>
      <c r="P20" s="53">
        <f>SUM(H20:M20)</f>
        <v>1115.4000000000001</v>
      </c>
      <c r="Q20" s="27">
        <v>299.7</v>
      </c>
      <c r="R20" s="27">
        <v>313.18</v>
      </c>
      <c r="S20" s="27">
        <f>R20-Q20</f>
        <v>13.480000000000018</v>
      </c>
      <c r="T20" s="67">
        <f>P20*S20</f>
        <v>15035.592000000022</v>
      </c>
      <c r="U20" s="25"/>
      <c r="V20" s="25"/>
    </row>
    <row r="21" spans="1:22" ht="14.45" customHeight="1" x14ac:dyDescent="0.3">
      <c r="A21" s="31" t="s">
        <v>32</v>
      </c>
      <c r="B21" s="27">
        <v>34.5</v>
      </c>
      <c r="C21" s="27">
        <v>34.5</v>
      </c>
      <c r="D21" s="27">
        <v>37.4</v>
      </c>
      <c r="E21" s="27">
        <v>34.5</v>
      </c>
      <c r="F21" s="32">
        <v>29.8</v>
      </c>
      <c r="G21" s="32">
        <v>34.799999999999997</v>
      </c>
      <c r="H21" s="27">
        <v>35.5</v>
      </c>
      <c r="I21" s="27">
        <v>30.2</v>
      </c>
      <c r="J21" s="27">
        <v>33.6</v>
      </c>
      <c r="K21" s="27">
        <v>33.799999999999997</v>
      </c>
      <c r="L21" s="27">
        <v>34.5</v>
      </c>
      <c r="M21" s="32">
        <v>32.42</v>
      </c>
      <c r="N21" s="72">
        <f t="shared" ref="N21:N26" si="6">SUM(B21:M21)</f>
        <v>405.52000000000004</v>
      </c>
      <c r="O21" s="59"/>
      <c r="P21" s="53">
        <f t="shared" ref="P21:P26" si="7">SUM(H21:M21)</f>
        <v>200.02000000000004</v>
      </c>
      <c r="Q21" s="27">
        <v>299.7</v>
      </c>
      <c r="R21" s="27">
        <v>313.18</v>
      </c>
      <c r="S21" s="27">
        <f>S20</f>
        <v>13.480000000000018</v>
      </c>
      <c r="T21" s="67">
        <f t="shared" ref="T21:T26" si="8">S21*P21</f>
        <v>2696.2696000000042</v>
      </c>
      <c r="U21" s="25"/>
      <c r="V21" s="25"/>
    </row>
    <row r="22" spans="1:22" ht="14.45" customHeight="1" x14ac:dyDescent="0.25">
      <c r="A22" s="31" t="s">
        <v>33</v>
      </c>
      <c r="B22" s="27">
        <v>16.100000000000001</v>
      </c>
      <c r="C22" s="27">
        <v>16.100000000000001</v>
      </c>
      <c r="D22" s="27">
        <v>20.3</v>
      </c>
      <c r="E22" s="27">
        <v>22.8</v>
      </c>
      <c r="F22" s="32">
        <v>20.3</v>
      </c>
      <c r="G22" s="32">
        <v>29.9</v>
      </c>
      <c r="H22" s="27">
        <v>38.9</v>
      </c>
      <c r="I22" s="27">
        <v>34</v>
      </c>
      <c r="J22" s="27">
        <v>29.7</v>
      </c>
      <c r="K22" s="27">
        <v>31.5</v>
      </c>
      <c r="L22" s="27">
        <v>30.4</v>
      </c>
      <c r="M22" s="32">
        <v>30.1</v>
      </c>
      <c r="N22" s="72">
        <f t="shared" si="6"/>
        <v>320.10000000000002</v>
      </c>
      <c r="O22" s="59"/>
      <c r="P22" s="53">
        <f t="shared" si="7"/>
        <v>194.60000000000002</v>
      </c>
      <c r="Q22" s="27">
        <v>299.7</v>
      </c>
      <c r="R22" s="27">
        <v>313.18</v>
      </c>
      <c r="S22" s="27">
        <f>S20</f>
        <v>13.480000000000018</v>
      </c>
      <c r="T22" s="67">
        <f t="shared" si="8"/>
        <v>2623.2080000000037</v>
      </c>
      <c r="U22" s="25"/>
      <c r="V22" s="25"/>
    </row>
    <row r="23" spans="1:22" ht="14.45" customHeight="1" x14ac:dyDescent="0.3">
      <c r="A23" s="31" t="s">
        <v>34</v>
      </c>
      <c r="B23" s="27">
        <v>488.1</v>
      </c>
      <c r="C23" s="27">
        <v>443.5</v>
      </c>
      <c r="D23" s="27">
        <v>531</v>
      </c>
      <c r="E23" s="27">
        <v>472.4</v>
      </c>
      <c r="F23" s="32">
        <v>444.3</v>
      </c>
      <c r="G23" s="32">
        <v>510</v>
      </c>
      <c r="H23" s="27">
        <v>493.4</v>
      </c>
      <c r="I23" s="27">
        <v>468.7</v>
      </c>
      <c r="J23" s="27">
        <v>507.4</v>
      </c>
      <c r="K23" s="27">
        <v>485.8</v>
      </c>
      <c r="L23" s="27">
        <v>489.6</v>
      </c>
      <c r="M23" s="32">
        <v>514.5</v>
      </c>
      <c r="N23" s="72">
        <f t="shared" si="6"/>
        <v>5848.7000000000007</v>
      </c>
      <c r="O23" s="59"/>
      <c r="P23" s="53">
        <f t="shared" si="7"/>
        <v>2959.4</v>
      </c>
      <c r="Q23" s="27">
        <v>299.7</v>
      </c>
      <c r="R23" s="27">
        <v>313.18</v>
      </c>
      <c r="S23" s="27">
        <f>S20</f>
        <v>13.480000000000018</v>
      </c>
      <c r="T23" s="67">
        <f t="shared" si="8"/>
        <v>39892.712000000058</v>
      </c>
      <c r="U23" s="25"/>
      <c r="V23" s="25"/>
    </row>
    <row r="24" spans="1:22" ht="14.45" customHeight="1" x14ac:dyDescent="0.25">
      <c r="A24" s="31" t="s">
        <v>35</v>
      </c>
      <c r="B24" s="27">
        <v>13.6</v>
      </c>
      <c r="C24" s="27">
        <v>12.9</v>
      </c>
      <c r="D24" s="27">
        <v>30.2</v>
      </c>
      <c r="E24" s="27">
        <v>28.3</v>
      </c>
      <c r="F24" s="32">
        <v>22.8</v>
      </c>
      <c r="G24" s="32">
        <v>27.3</v>
      </c>
      <c r="H24" s="27">
        <v>27.8</v>
      </c>
      <c r="I24" s="27">
        <v>28.8</v>
      </c>
      <c r="J24" s="27">
        <v>25.8</v>
      </c>
      <c r="K24" s="27">
        <v>23.5</v>
      </c>
      <c r="L24" s="27">
        <v>18.399999999999999</v>
      </c>
      <c r="M24" s="32">
        <v>26.8</v>
      </c>
      <c r="N24" s="72">
        <f t="shared" si="6"/>
        <v>286.20000000000005</v>
      </c>
      <c r="O24" s="59"/>
      <c r="P24" s="53">
        <f t="shared" si="7"/>
        <v>151.10000000000002</v>
      </c>
      <c r="Q24" s="27">
        <v>299.7</v>
      </c>
      <c r="R24" s="27">
        <v>313.18</v>
      </c>
      <c r="S24" s="27">
        <f>S20</f>
        <v>13.480000000000018</v>
      </c>
      <c r="T24" s="67">
        <f t="shared" si="8"/>
        <v>2036.8280000000032</v>
      </c>
      <c r="U24" s="25"/>
      <c r="V24" s="25"/>
    </row>
    <row r="25" spans="1:22" ht="14.45" customHeight="1" x14ac:dyDescent="0.3">
      <c r="A25" s="31" t="s">
        <v>36</v>
      </c>
      <c r="B25" s="27">
        <v>3.8</v>
      </c>
      <c r="C25" s="27">
        <v>3.8</v>
      </c>
      <c r="D25" s="27">
        <v>6.8</v>
      </c>
      <c r="E25" s="27">
        <v>5.2</v>
      </c>
      <c r="F25" s="32">
        <v>4.8</v>
      </c>
      <c r="G25" s="32">
        <v>6.3</v>
      </c>
      <c r="H25" s="27">
        <v>7.9</v>
      </c>
      <c r="I25" s="27">
        <v>6.7</v>
      </c>
      <c r="J25" s="27">
        <v>6.7</v>
      </c>
      <c r="K25" s="27">
        <v>4.3</v>
      </c>
      <c r="L25" s="27"/>
      <c r="M25" s="32"/>
      <c r="N25" s="72">
        <f t="shared" si="6"/>
        <v>56.300000000000004</v>
      </c>
      <c r="O25" s="59"/>
      <c r="P25" s="53">
        <f t="shared" si="7"/>
        <v>25.6</v>
      </c>
      <c r="Q25" s="27">
        <v>299.7</v>
      </c>
      <c r="R25" s="27">
        <v>313.18</v>
      </c>
      <c r="S25" s="27">
        <f>S20</f>
        <v>13.480000000000018</v>
      </c>
      <c r="T25" s="67">
        <f t="shared" si="8"/>
        <v>345.08800000000048</v>
      </c>
      <c r="U25" s="25"/>
      <c r="V25" s="25"/>
    </row>
    <row r="26" spans="1:22" ht="14.45" customHeight="1" x14ac:dyDescent="0.25">
      <c r="A26" s="31" t="s">
        <v>37</v>
      </c>
      <c r="B26" s="27"/>
      <c r="C26" s="27"/>
      <c r="D26" s="27">
        <v>1.8</v>
      </c>
      <c r="E26" s="27">
        <v>1.8</v>
      </c>
      <c r="F26" s="32">
        <v>3.9</v>
      </c>
      <c r="G26" s="32">
        <v>6</v>
      </c>
      <c r="H26" s="27">
        <v>6</v>
      </c>
      <c r="I26" s="27">
        <v>4.5</v>
      </c>
      <c r="J26" s="27">
        <v>1.3</v>
      </c>
      <c r="K26" s="27">
        <v>2</v>
      </c>
      <c r="L26" s="27">
        <v>1.3</v>
      </c>
      <c r="M26" s="32">
        <v>1.3</v>
      </c>
      <c r="N26" s="72">
        <f t="shared" si="6"/>
        <v>29.900000000000002</v>
      </c>
      <c r="O26" s="59"/>
      <c r="P26" s="53">
        <f t="shared" si="7"/>
        <v>16.400000000000002</v>
      </c>
      <c r="Q26" s="27">
        <v>299.7</v>
      </c>
      <c r="R26" s="27">
        <v>313.18</v>
      </c>
      <c r="S26" s="27">
        <f>S20</f>
        <v>13.480000000000018</v>
      </c>
      <c r="T26" s="67">
        <f t="shared" si="8"/>
        <v>221.07200000000032</v>
      </c>
      <c r="U26" s="25"/>
      <c r="V26" s="25"/>
    </row>
    <row r="27" spans="1:22" ht="14.45" customHeight="1" x14ac:dyDescent="0.3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 s="29"/>
      <c r="U27" s="25"/>
      <c r="V27" s="25"/>
    </row>
    <row r="28" spans="1:22" ht="13.9" x14ac:dyDescent="0.3">
      <c r="P28" s="23"/>
      <c r="Q28" s="24"/>
      <c r="R28" s="24"/>
      <c r="S28" s="24"/>
      <c r="T28" s="24"/>
      <c r="U28" s="25"/>
      <c r="V28" s="25"/>
    </row>
    <row r="30" spans="1:22" ht="13.9" x14ac:dyDescent="0.3">
      <c r="Q30" s="7"/>
      <c r="R30" s="7"/>
      <c r="S30" s="7"/>
      <c r="T30" s="7"/>
    </row>
    <row r="31" spans="1:22" ht="13.9" x14ac:dyDescent="0.3">
      <c r="Q31" s="7"/>
      <c r="R31" s="7"/>
      <c r="S31" s="7"/>
      <c r="T31" s="7"/>
    </row>
    <row r="32" spans="1:22" ht="13.9" x14ac:dyDescent="0.3">
      <c r="Q32" s="7"/>
      <c r="R32" s="7"/>
      <c r="S32" s="7"/>
      <c r="T32" s="7"/>
    </row>
    <row r="33" spans="1:20" ht="13.9" x14ac:dyDescent="0.3">
      <c r="Q33" s="7"/>
      <c r="R33" s="7"/>
      <c r="S33" s="7"/>
      <c r="T33" s="7"/>
    </row>
    <row r="34" spans="1:20" ht="13.9" x14ac:dyDescent="0.3">
      <c r="Q34" s="7"/>
      <c r="R34" s="7"/>
      <c r="S34" s="7"/>
      <c r="T34" s="7"/>
    </row>
    <row r="35" spans="1:20" ht="13.9" x14ac:dyDescent="0.3">
      <c r="Q35" s="7"/>
      <c r="R35" s="7"/>
      <c r="S35" s="7"/>
      <c r="T35" s="7"/>
    </row>
    <row r="36" spans="1:20" ht="13.9" x14ac:dyDescent="0.3">
      <c r="Q36" s="7"/>
      <c r="R36" s="7"/>
      <c r="S36" s="7"/>
      <c r="T36" s="7"/>
    </row>
    <row r="37" spans="1:20" ht="13.9" x14ac:dyDescent="0.3">
      <c r="Q37" s="7"/>
      <c r="R37" s="7"/>
      <c r="S37" s="7"/>
      <c r="T37" s="7"/>
    </row>
    <row r="38" spans="1:20" ht="13.9" x14ac:dyDescent="0.3">
      <c r="Q38" s="7"/>
      <c r="R38" s="7"/>
      <c r="S38" s="7"/>
      <c r="T38" s="7"/>
    </row>
    <row r="39" spans="1:20" x14ac:dyDescent="0.2">
      <c r="Q39" s="7"/>
      <c r="R39" s="7"/>
      <c r="S39" s="7"/>
      <c r="T39" s="7"/>
    </row>
    <row r="40" spans="1:20" x14ac:dyDescent="0.2">
      <c r="Q40" s="7"/>
      <c r="R40" s="7"/>
      <c r="S40" s="7"/>
      <c r="T40" s="7"/>
    </row>
    <row r="41" spans="1:20" x14ac:dyDescent="0.2">
      <c r="Q41" s="7"/>
      <c r="R41" s="7"/>
      <c r="S41" s="7"/>
      <c r="T41" s="7"/>
    </row>
    <row r="42" spans="1:20" x14ac:dyDescent="0.2">
      <c r="Q42" s="7"/>
      <c r="R42" s="7"/>
      <c r="S42" s="7"/>
      <c r="T42" s="7"/>
    </row>
    <row r="43" spans="1:20" ht="15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</row>
    <row r="44" spans="1:20" ht="15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</row>
    <row r="45" spans="1:20" ht="15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</row>
    <row r="46" spans="1:20" ht="15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 s="73"/>
      <c r="Q46" s="73"/>
      <c r="R46" s="73"/>
      <c r="S46" s="73"/>
      <c r="T46"/>
    </row>
    <row r="47" spans="1:20" ht="15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 s="47"/>
      <c r="Q47" s="47"/>
      <c r="R47" s="47"/>
      <c r="S47" s="47"/>
      <c r="T47"/>
    </row>
    <row r="48" spans="1:20" ht="15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 s="48"/>
      <c r="Q48" s="48"/>
      <c r="R48" s="48"/>
      <c r="S48" s="48"/>
      <c r="T48"/>
    </row>
    <row r="49" spans="1:20" ht="15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 s="42"/>
      <c r="Q49" s="43"/>
      <c r="R49" s="42"/>
      <c r="S49" s="43"/>
      <c r="T49"/>
    </row>
  </sheetData>
  <mergeCells count="1">
    <mergeCell ref="P46:S46"/>
  </mergeCells>
  <pageMargins left="0.23622047244094491" right="0.23622047244094491" top="0.74803149606299213" bottom="0.74803149606299213" header="0.31496062992125984" footer="0.31496062992125984"/>
  <pageSetup paperSize="9" scale="64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workbookViewId="0">
      <selection activeCell="K24" sqref="K24"/>
    </sheetView>
  </sheetViews>
  <sheetFormatPr defaultRowHeight="15" x14ac:dyDescent="0.25"/>
  <cols>
    <col min="20" max="20" width="10.140625" bestFit="1" customWidth="1"/>
  </cols>
  <sheetData>
    <row r="1" spans="1:20" x14ac:dyDescent="0.25">
      <c r="A1" s="74" t="s">
        <v>40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20" x14ac:dyDescent="0.25">
      <c r="A2" s="45" t="s">
        <v>43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20" ht="14.45" x14ac:dyDescent="0.3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20" ht="69.599999999999994" thickBot="1" x14ac:dyDescent="0.35">
      <c r="C4" s="28" t="s">
        <v>0</v>
      </c>
      <c r="D4" s="28" t="s">
        <v>1</v>
      </c>
      <c r="E4" s="28" t="s">
        <v>2</v>
      </c>
      <c r="F4" s="28" t="s">
        <v>3</v>
      </c>
      <c r="G4" s="28" t="s">
        <v>4</v>
      </c>
      <c r="H4" s="28" t="s">
        <v>5</v>
      </c>
      <c r="I4" s="28" t="s">
        <v>6</v>
      </c>
      <c r="J4" s="28" t="s">
        <v>7</v>
      </c>
      <c r="K4" s="28" t="s">
        <v>8</v>
      </c>
      <c r="L4" s="28" t="s">
        <v>9</v>
      </c>
      <c r="M4" s="28" t="s">
        <v>10</v>
      </c>
      <c r="N4" s="28" t="s">
        <v>11</v>
      </c>
      <c r="P4" s="10" t="s">
        <v>22</v>
      </c>
      <c r="Q4" s="11" t="s">
        <v>27</v>
      </c>
      <c r="R4" s="11" t="s">
        <v>28</v>
      </c>
      <c r="S4" s="11" t="s">
        <v>23</v>
      </c>
      <c r="T4" s="11" t="s">
        <v>24</v>
      </c>
    </row>
    <row r="5" spans="1:20" x14ac:dyDescent="0.25">
      <c r="A5" s="31" t="s">
        <v>31</v>
      </c>
      <c r="B5" s="31"/>
      <c r="C5" s="27">
        <v>159.30000000000001</v>
      </c>
      <c r="D5" s="27">
        <v>269.10000000000002</v>
      </c>
      <c r="E5" s="27">
        <v>214.3</v>
      </c>
      <c r="F5" s="27">
        <v>192.8</v>
      </c>
      <c r="G5" s="32">
        <v>176.3</v>
      </c>
      <c r="H5" s="35">
        <v>186.8</v>
      </c>
      <c r="I5" s="63">
        <v>175.9</v>
      </c>
      <c r="J5" s="34">
        <v>189.6</v>
      </c>
      <c r="K5" s="34">
        <v>196.8</v>
      </c>
      <c r="L5" s="34">
        <v>182.5</v>
      </c>
      <c r="M5" s="34">
        <v>181.6</v>
      </c>
      <c r="N5" s="46">
        <v>189</v>
      </c>
      <c r="O5" s="33"/>
      <c r="P5" s="27">
        <f>SUM(I5:N5)</f>
        <v>1115.4000000000001</v>
      </c>
      <c r="Q5" s="27">
        <f>(P20+Q20)/2</f>
        <v>299.70000000000005</v>
      </c>
      <c r="R5" s="27">
        <f>(R20+S20)/2</f>
        <v>329.53</v>
      </c>
      <c r="S5" s="27">
        <f>R5-Q5</f>
        <v>29.829999999999927</v>
      </c>
      <c r="T5" s="30">
        <f>P5*S5</f>
        <v>33272.381999999925</v>
      </c>
    </row>
    <row r="6" spans="1:20" ht="14.45" x14ac:dyDescent="0.3">
      <c r="A6" s="31" t="s">
        <v>32</v>
      </c>
      <c r="B6" s="31"/>
      <c r="C6" s="27">
        <v>34.5</v>
      </c>
      <c r="D6" s="27">
        <v>34.5</v>
      </c>
      <c r="E6" s="27">
        <v>37.4</v>
      </c>
      <c r="F6" s="27">
        <v>34.5</v>
      </c>
      <c r="G6" s="32">
        <v>29.8</v>
      </c>
      <c r="H6" s="35">
        <v>34.799999999999997</v>
      </c>
      <c r="I6" s="33">
        <v>35.5</v>
      </c>
      <c r="J6" s="27">
        <v>30.2</v>
      </c>
      <c r="K6" s="27">
        <v>33.6</v>
      </c>
      <c r="L6" s="27">
        <v>33.799999999999997</v>
      </c>
      <c r="M6" s="27">
        <v>34.5</v>
      </c>
      <c r="N6" s="35">
        <v>32.42</v>
      </c>
      <c r="O6" s="33"/>
      <c r="P6" s="27">
        <f t="shared" ref="P6:P11" si="0">SUM(I6:N6)</f>
        <v>200.02000000000004</v>
      </c>
      <c r="Q6" s="27">
        <f>Q5</f>
        <v>299.70000000000005</v>
      </c>
      <c r="R6" s="27">
        <f>R5</f>
        <v>329.53</v>
      </c>
      <c r="S6" s="27">
        <f>S5</f>
        <v>29.829999999999927</v>
      </c>
      <c r="T6" s="30">
        <f t="shared" ref="T6:T11" si="1">S6*P6</f>
        <v>5966.5965999999862</v>
      </c>
    </row>
    <row r="7" spans="1:20" x14ac:dyDescent="0.25">
      <c r="A7" s="31" t="s">
        <v>33</v>
      </c>
      <c r="B7" s="31"/>
      <c r="C7" s="27">
        <v>16.100000000000001</v>
      </c>
      <c r="D7" s="27">
        <v>16.100000000000001</v>
      </c>
      <c r="E7" s="27">
        <v>20.3</v>
      </c>
      <c r="F7" s="27">
        <v>22.8</v>
      </c>
      <c r="G7" s="32">
        <v>20.3</v>
      </c>
      <c r="H7" s="35">
        <v>29.9</v>
      </c>
      <c r="I7" s="33">
        <v>38.9</v>
      </c>
      <c r="J7" s="27">
        <v>34</v>
      </c>
      <c r="K7" s="27">
        <v>29.7</v>
      </c>
      <c r="L7" s="27">
        <v>31.5</v>
      </c>
      <c r="M7" s="27">
        <v>30.4</v>
      </c>
      <c r="N7" s="35">
        <v>30.1</v>
      </c>
      <c r="O7" s="33"/>
      <c r="P7" s="27">
        <f t="shared" si="0"/>
        <v>194.60000000000002</v>
      </c>
      <c r="Q7" s="27">
        <f>Q5</f>
        <v>299.70000000000005</v>
      </c>
      <c r="R7" s="27">
        <f>R5</f>
        <v>329.53</v>
      </c>
      <c r="S7" s="27">
        <f>S5</f>
        <v>29.829999999999927</v>
      </c>
      <c r="T7" s="30">
        <f t="shared" si="1"/>
        <v>5804.9179999999869</v>
      </c>
    </row>
    <row r="8" spans="1:20" ht="14.45" x14ac:dyDescent="0.3">
      <c r="A8" s="31" t="s">
        <v>34</v>
      </c>
      <c r="B8" s="31"/>
      <c r="C8" s="27">
        <v>488.1</v>
      </c>
      <c r="D8" s="27">
        <v>443.5</v>
      </c>
      <c r="E8" s="27">
        <v>531</v>
      </c>
      <c r="F8" s="27">
        <v>472.4</v>
      </c>
      <c r="G8" s="32">
        <v>444.3</v>
      </c>
      <c r="H8" s="35">
        <v>510</v>
      </c>
      <c r="I8" s="33">
        <v>493.4</v>
      </c>
      <c r="J8" s="27">
        <v>468.7</v>
      </c>
      <c r="K8" s="27">
        <v>507.4</v>
      </c>
      <c r="L8" s="27">
        <v>485.8</v>
      </c>
      <c r="M8" s="27">
        <v>489.6</v>
      </c>
      <c r="N8" s="35">
        <v>514.5</v>
      </c>
      <c r="O8" s="33"/>
      <c r="P8" s="27">
        <f t="shared" si="0"/>
        <v>2959.4</v>
      </c>
      <c r="Q8" s="27">
        <f>Q5</f>
        <v>299.70000000000005</v>
      </c>
      <c r="R8" s="27">
        <f>R5</f>
        <v>329.53</v>
      </c>
      <c r="S8" s="27">
        <f>S5</f>
        <v>29.829999999999927</v>
      </c>
      <c r="T8" s="30">
        <f t="shared" si="1"/>
        <v>88278.901999999784</v>
      </c>
    </row>
    <row r="9" spans="1:20" x14ac:dyDescent="0.25">
      <c r="A9" s="31" t="s">
        <v>35</v>
      </c>
      <c r="B9" s="31"/>
      <c r="C9" s="27">
        <v>13.6</v>
      </c>
      <c r="D9" s="27">
        <v>12.9</v>
      </c>
      <c r="E9" s="27">
        <v>30.2</v>
      </c>
      <c r="F9" s="27">
        <v>28.3</v>
      </c>
      <c r="G9" s="32">
        <v>22.8</v>
      </c>
      <c r="H9" s="35">
        <v>27.3</v>
      </c>
      <c r="I9" s="33">
        <v>27.8</v>
      </c>
      <c r="J9" s="27">
        <v>28.8</v>
      </c>
      <c r="K9" s="27">
        <v>25.8</v>
      </c>
      <c r="L9" s="27">
        <v>23.5</v>
      </c>
      <c r="M9" s="27">
        <v>18.399999999999999</v>
      </c>
      <c r="N9" s="35">
        <v>26.8</v>
      </c>
      <c r="O9" s="33"/>
      <c r="P9" s="27">
        <f t="shared" si="0"/>
        <v>151.10000000000002</v>
      </c>
      <c r="Q9" s="27">
        <f>Q5</f>
        <v>299.70000000000005</v>
      </c>
      <c r="R9" s="27">
        <f>R5</f>
        <v>329.53</v>
      </c>
      <c r="S9" s="27">
        <f>S5</f>
        <v>29.829999999999927</v>
      </c>
      <c r="T9" s="30">
        <f t="shared" si="1"/>
        <v>4507.3129999999901</v>
      </c>
    </row>
    <row r="10" spans="1:20" ht="14.45" x14ac:dyDescent="0.3">
      <c r="A10" s="31" t="s">
        <v>36</v>
      </c>
      <c r="B10" s="31"/>
      <c r="C10" s="27">
        <v>3.8</v>
      </c>
      <c r="D10" s="27">
        <v>3.8</v>
      </c>
      <c r="E10" s="27">
        <v>6.8</v>
      </c>
      <c r="F10" s="27">
        <v>5.2</v>
      </c>
      <c r="G10" s="32">
        <v>4.8</v>
      </c>
      <c r="H10" s="35">
        <v>6.3</v>
      </c>
      <c r="I10" s="33">
        <v>7.9</v>
      </c>
      <c r="J10" s="27">
        <v>6.7</v>
      </c>
      <c r="K10" s="27">
        <v>6.7</v>
      </c>
      <c r="L10" s="27">
        <v>4.3</v>
      </c>
      <c r="M10" s="27"/>
      <c r="N10" s="35"/>
      <c r="O10" s="33"/>
      <c r="P10" s="27">
        <f t="shared" si="0"/>
        <v>25.6</v>
      </c>
      <c r="Q10" s="27">
        <f>Q5</f>
        <v>299.70000000000005</v>
      </c>
      <c r="R10" s="27">
        <f>R5</f>
        <v>329.53</v>
      </c>
      <c r="S10" s="27">
        <f>S5</f>
        <v>29.829999999999927</v>
      </c>
      <c r="T10" s="30">
        <f t="shared" si="1"/>
        <v>763.64799999999821</v>
      </c>
    </row>
    <row r="11" spans="1:20" ht="15.75" thickBot="1" x14ac:dyDescent="0.3">
      <c r="A11" s="31" t="s">
        <v>37</v>
      </c>
      <c r="B11" s="31"/>
      <c r="C11" s="27"/>
      <c r="D11" s="27"/>
      <c r="E11" s="27">
        <v>1.8</v>
      </c>
      <c r="F11" s="27">
        <v>1.8</v>
      </c>
      <c r="G11" s="32">
        <v>3.9</v>
      </c>
      <c r="H11" s="35">
        <v>6</v>
      </c>
      <c r="I11" s="62">
        <v>6</v>
      </c>
      <c r="J11" s="36">
        <v>4.5</v>
      </c>
      <c r="K11" s="36">
        <v>1.3</v>
      </c>
      <c r="L11" s="36">
        <v>2</v>
      </c>
      <c r="M11" s="36">
        <v>1.3</v>
      </c>
      <c r="N11" s="37">
        <v>1.3</v>
      </c>
      <c r="O11" s="33"/>
      <c r="P11" s="27">
        <f t="shared" si="0"/>
        <v>16.400000000000002</v>
      </c>
      <c r="Q11" s="27">
        <f>Q5</f>
        <v>299.70000000000005</v>
      </c>
      <c r="R11" s="27">
        <f>R5</f>
        <v>329.53</v>
      </c>
      <c r="S11" s="27">
        <f>S5</f>
        <v>29.829999999999927</v>
      </c>
      <c r="T11" s="30">
        <f t="shared" si="1"/>
        <v>489.21199999999885</v>
      </c>
    </row>
    <row r="12" spans="1:20" ht="14.45" x14ac:dyDescent="0.3">
      <c r="T12" s="29"/>
    </row>
    <row r="13" spans="1:20" x14ac:dyDescent="0.25">
      <c r="O13" s="27" t="s">
        <v>39</v>
      </c>
      <c r="P13" s="27"/>
      <c r="Q13" s="27"/>
      <c r="R13" s="27"/>
      <c r="S13" s="27"/>
      <c r="T13" s="30">
        <f>SUM(T5:T12)</f>
        <v>139082.97159999967</v>
      </c>
    </row>
    <row r="17" spans="16:19" x14ac:dyDescent="0.25">
      <c r="P17" s="75" t="s">
        <v>38</v>
      </c>
      <c r="Q17" s="75"/>
      <c r="R17" s="75"/>
      <c r="S17" s="75"/>
    </row>
    <row r="18" spans="16:19" ht="27.6" x14ac:dyDescent="0.3">
      <c r="P18" s="11" t="s">
        <v>25</v>
      </c>
      <c r="Q18" s="11" t="s">
        <v>26</v>
      </c>
      <c r="R18" s="11" t="s">
        <v>25</v>
      </c>
      <c r="S18" s="11" t="s">
        <v>26</v>
      </c>
    </row>
    <row r="19" spans="16:19" ht="14.45" x14ac:dyDescent="0.3">
      <c r="P19" s="14">
        <v>2015</v>
      </c>
      <c r="Q19" s="14">
        <v>2015</v>
      </c>
      <c r="R19" s="14" t="s">
        <v>30</v>
      </c>
      <c r="S19" s="14" t="s">
        <v>30</v>
      </c>
    </row>
    <row r="20" spans="16:19" ht="14.45" x14ac:dyDescent="0.3">
      <c r="P20" s="21">
        <v>290.79000000000002</v>
      </c>
      <c r="Q20" s="19">
        <v>308.61</v>
      </c>
      <c r="R20" s="21">
        <v>338.54</v>
      </c>
      <c r="S20" s="19">
        <v>320.52</v>
      </c>
    </row>
  </sheetData>
  <mergeCells count="2">
    <mergeCell ref="A1:N1"/>
    <mergeCell ref="P17:S1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1</SortOrder>
    <MeetingStartDate xmlns="d08b57ff-b9b7-4581-975d-98f87b579a51">2016-03-16T07:00:00+00:00</MeetingStartDate>
    <EnclosureFileNumber xmlns="d08b57ff-b9b7-4581-975d-98f87b579a51">35145/16</EnclosureFileNumber>
    <AgendaId xmlns="d08b57ff-b9b7-4581-975d-98f87b579a51">5081</AgendaId>
    <AccessLevel xmlns="d08b57ff-b9b7-4581-975d-98f87b579a51">1</AccessLevel>
    <EnclosureType xmlns="d08b57ff-b9b7-4581-975d-98f87b579a51">Enclosure</EnclosureType>
    <CommitteeName xmlns="d08b57ff-b9b7-4581-975d-98f87b579a51">Udvalget for Social og Sundhed</CommitteeName>
    <FusionId xmlns="d08b57ff-b9b7-4581-975d-98f87b579a51">2110648</FusionId>
    <AgendaAccessLevelName xmlns="d08b57ff-b9b7-4581-975d-98f87b579a51">Åben</AgendaAccessLevelName>
    <UNC xmlns="d08b57ff-b9b7-4581-975d-98f87b579a51">1904100</UNC>
    <MeetingTitle xmlns="d08b57ff-b9b7-4581-975d-98f87b579a51">16-03-2016</MeetingTitle>
    <MeetingDateAndTime xmlns="d08b57ff-b9b7-4581-975d-98f87b579a51">16-03-2016 fra 08:00 - 12:00</MeetingDateAndTime>
    <MeetingEndDate xmlns="d08b57ff-b9b7-4581-975d-98f87b579a51">2016-03-16T11:00:00+00:00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0DACBD8-4A66-4A82-B695-6AD28F3690E5}"/>
</file>

<file path=customXml/itemProps2.xml><?xml version="1.0" encoding="utf-8"?>
<ds:datastoreItem xmlns:ds="http://schemas.openxmlformats.org/officeDocument/2006/customXml" ds:itemID="{4EB9353F-7809-411B-9965-6A0169E2A55C}"/>
</file>

<file path=customXml/itemProps3.xml><?xml version="1.0" encoding="utf-8"?>
<ds:datastoreItem xmlns:ds="http://schemas.openxmlformats.org/officeDocument/2006/customXml" ds:itemID="{6EE09E73-E586-4677-8543-3482B7BE28F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Kontrolberegning 2015</vt:lpstr>
      <vt:lpstr>øvrige</vt:lpstr>
      <vt:lpstr>Ark3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USS-16-03-2016 - Bilag 348.01 Til udvalg - Efterkalkulation fritvalg - Blåbjerg Pleje- og aktivitets…</dc:title>
  <dc:creator>Birthe Kruse Holm</dc:creator>
  <cp:lastModifiedBy>Thorkild Sloth Pedersen</cp:lastModifiedBy>
  <cp:lastPrinted>2016-03-04T08:35:52Z</cp:lastPrinted>
  <dcterms:created xsi:type="dcterms:W3CDTF">2016-01-14T13:09:19Z</dcterms:created>
  <dcterms:modified xsi:type="dcterms:W3CDTF">2016-03-04T08:36:03Z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